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-30" windowWidth="10590" windowHeight="10995" tabRatio="599" firstSheet="6" activeTab="9"/>
  </bookViews>
  <sheets>
    <sheet name="1 Basic Budget" sheetId="17" r:id="rId1"/>
    <sheet name="2 Basic Budget Parameters" sheetId="16" r:id="rId2"/>
    <sheet name="3 Build Your Own Budget" sheetId="5" r:id="rId3"/>
    <sheet name="4 Budget vs ActualExp Variance" sheetId="15" r:id="rId4"/>
    <sheet name="5  Labor Tabs 1 and 2" sheetId="12" r:id="rId5"/>
    <sheet name="6  Labor Tabs 3 and 4" sheetId="13" r:id="rId6"/>
    <sheet name="7  Labor Tabs 5 and 6" sheetId="14" r:id="rId7"/>
    <sheet name="8 Amortization Factors" sheetId="8" r:id="rId8"/>
    <sheet name="9 Medicare 2013 GPCIs" sheetId="10" r:id="rId9"/>
    <sheet name="10 EXS 1-9 Budgets" sheetId="2" r:id="rId10"/>
    <sheet name="11 EXS 1-9 Budget Parameters" sheetId="1" r:id="rId11"/>
    <sheet name="Sheet1" sheetId="18" r:id="rId12"/>
  </sheets>
  <definedNames>
    <definedName name="_xlnm._FilterDatabase" localSheetId="10" hidden="1">'11 EXS 1-9 Budget Parameters'!$A$143:$J$507</definedName>
    <definedName name="_xlnm._FilterDatabase" localSheetId="1" hidden="1">'2 Basic Budget Parameters'!$A$143:$B$505</definedName>
    <definedName name="_Toc295483220" localSheetId="4">'5  Labor Tabs 1 and 2'!$A$1</definedName>
    <definedName name="_Toc295483220" localSheetId="5">'6  Labor Tabs 3 and 4'!$A$1</definedName>
    <definedName name="_Toc295483221" localSheetId="4">'5  Labor Tabs 1 and 2'!$B$147</definedName>
    <definedName name="_Toc295483221" localSheetId="5">'6  Labor Tabs 3 and 4'!#REF!</definedName>
    <definedName name="_xlnm.Print_Area" localSheetId="0">'1 Basic Budget'!$A$1:$B$219</definedName>
    <definedName name="_xlnm.Print_Area" localSheetId="9">'10 EXS 1-9 Budgets'!$A$1:$J$224</definedName>
    <definedName name="_xlnm.Print_Area" localSheetId="10">'11 EXS 1-9 Budget Parameters'!$A$1:$J$610</definedName>
    <definedName name="_xlnm.Print_Area" localSheetId="1">'2 Basic Budget Parameters'!$A$1:$B$608</definedName>
    <definedName name="_xlnm.Print_Area" localSheetId="2">'3 Build Your Own Budget'!$A$1:$F$175</definedName>
    <definedName name="_xlnm.Print_Area" localSheetId="3">'4 Budget vs ActualExp Variance'!$A$1:$BM$160</definedName>
    <definedName name="_xlnm.Print_Area" localSheetId="4">'5  Labor Tabs 1 and 2'!$A$1:$I$66</definedName>
    <definedName name="_xlnm.Print_Area" localSheetId="5">'6  Labor Tabs 3 and 4'!$A$1:$I$67</definedName>
    <definedName name="_xlnm.Print_Area" localSheetId="6">'7  Labor Tabs 5 and 6'!$A$1:$J$66</definedName>
    <definedName name="_xlnm.Print_Area" localSheetId="7">'8 Amortization Factors'!$A$1:$K$30</definedName>
    <definedName name="_xlnm.Print_Titles" localSheetId="0">'1 Basic Budget'!$1:$2</definedName>
    <definedName name="_xlnm.Print_Titles" localSheetId="9">'10 EXS 1-9 Budgets'!$1:$2</definedName>
    <definedName name="_xlnm.Print_Titles" localSheetId="10">'11 EXS 1-9 Budget Parameters'!$1:$2</definedName>
    <definedName name="_xlnm.Print_Titles" localSheetId="1">'2 Basic Budget Parameters'!$1:$2</definedName>
    <definedName name="_xlnm.Print_Titles" localSheetId="3">'4 Budget vs ActualExp Variance'!$A:$C,'4 Budget vs ActualExp Variance'!$1:$4</definedName>
  </definedNames>
  <calcPr calcId="145621"/>
</workbook>
</file>

<file path=xl/calcChain.xml><?xml version="1.0" encoding="utf-8"?>
<calcChain xmlns="http://schemas.openxmlformats.org/spreadsheetml/2006/main">
  <c r="J217" i="2" l="1"/>
  <c r="B514" i="16" l="1"/>
  <c r="B513" i="16"/>
  <c r="B355" i="1"/>
  <c r="J354" i="1"/>
  <c r="C354" i="1"/>
  <c r="D354" i="1"/>
  <c r="E354" i="1"/>
  <c r="F354" i="1"/>
  <c r="G354" i="1"/>
  <c r="H354" i="1"/>
  <c r="I354" i="1"/>
  <c r="B354" i="1"/>
  <c r="C352" i="1"/>
  <c r="D352" i="1"/>
  <c r="E352" i="1"/>
  <c r="F352" i="1"/>
  <c r="G352" i="1"/>
  <c r="H352" i="1"/>
  <c r="I352" i="1"/>
  <c r="J352" i="1"/>
  <c r="C353" i="1"/>
  <c r="D353" i="1"/>
  <c r="E353" i="1"/>
  <c r="F353" i="1"/>
  <c r="G353" i="1"/>
  <c r="H353" i="1"/>
  <c r="I353" i="1"/>
  <c r="J353" i="1"/>
  <c r="B352" i="1"/>
  <c r="B353" i="1"/>
  <c r="C351" i="1"/>
  <c r="D351" i="1"/>
  <c r="E351" i="1"/>
  <c r="F351" i="1"/>
  <c r="G351" i="1"/>
  <c r="H351" i="1"/>
  <c r="I351" i="1"/>
  <c r="J351" i="1"/>
  <c r="B351" i="1"/>
  <c r="B353" i="16"/>
  <c r="B352" i="16"/>
  <c r="B351" i="16"/>
  <c r="B350" i="16"/>
  <c r="B349" i="16"/>
  <c r="J550" i="1" l="1"/>
  <c r="I550" i="1"/>
  <c r="H550" i="1"/>
  <c r="G550" i="1"/>
  <c r="F550" i="1"/>
  <c r="E550" i="1"/>
  <c r="D550" i="1"/>
  <c r="C550" i="1"/>
  <c r="B550" i="1"/>
  <c r="B558" i="1" s="1"/>
  <c r="G5" i="2"/>
  <c r="H5" i="2"/>
  <c r="I5" i="2"/>
  <c r="J5" i="2"/>
  <c r="F5" i="2"/>
  <c r="E5" i="2"/>
  <c r="H43" i="2"/>
  <c r="B113" i="2"/>
  <c r="C113" i="2"/>
  <c r="D113" i="2"/>
  <c r="E113" i="2"/>
  <c r="F113" i="2"/>
  <c r="G113" i="2"/>
  <c r="H113" i="2"/>
  <c r="I113" i="2"/>
  <c r="J113" i="2"/>
  <c r="B114" i="2"/>
  <c r="C114" i="2"/>
  <c r="D114" i="2"/>
  <c r="E114" i="2"/>
  <c r="F114" i="2"/>
  <c r="G114" i="2"/>
  <c r="H114" i="2"/>
  <c r="I114" i="2"/>
  <c r="J114" i="2"/>
  <c r="B115" i="2"/>
  <c r="C115" i="2"/>
  <c r="D115" i="2"/>
  <c r="E115" i="2"/>
  <c r="F115" i="2"/>
  <c r="G115" i="2"/>
  <c r="H115" i="2"/>
  <c r="I115" i="2"/>
  <c r="J115" i="2"/>
  <c r="B116" i="2"/>
  <c r="C116" i="2"/>
  <c r="D116" i="2"/>
  <c r="E116" i="2"/>
  <c r="F116" i="2"/>
  <c r="G116" i="2"/>
  <c r="H116" i="2"/>
  <c r="I116" i="2"/>
  <c r="J116" i="2"/>
  <c r="B117" i="2"/>
  <c r="C117" i="2"/>
  <c r="D117" i="2"/>
  <c r="E117" i="2"/>
  <c r="F117" i="2"/>
  <c r="G117" i="2"/>
  <c r="H117" i="2"/>
  <c r="I117" i="2"/>
  <c r="J117" i="2"/>
  <c r="B118" i="2"/>
  <c r="C118" i="2"/>
  <c r="D118" i="2"/>
  <c r="E118" i="2"/>
  <c r="F118" i="2"/>
  <c r="G118" i="2"/>
  <c r="H118" i="2"/>
  <c r="I118" i="2"/>
  <c r="J118" i="2"/>
  <c r="B119" i="2"/>
  <c r="C119" i="2"/>
  <c r="D119" i="2"/>
  <c r="E119" i="2"/>
  <c r="F119" i="2"/>
  <c r="G119" i="2"/>
  <c r="H119" i="2"/>
  <c r="I119" i="2"/>
  <c r="J119" i="2"/>
  <c r="B120" i="2"/>
  <c r="C120" i="2"/>
  <c r="D120" i="2"/>
  <c r="E120" i="2"/>
  <c r="F120" i="2"/>
  <c r="G120" i="2"/>
  <c r="H120" i="2"/>
  <c r="I120" i="2"/>
  <c r="J120" i="2"/>
  <c r="A114" i="2"/>
  <c r="A115" i="2"/>
  <c r="A116" i="2"/>
  <c r="A117" i="2"/>
  <c r="A118" i="2"/>
  <c r="A119" i="2"/>
  <c r="A120" i="2"/>
  <c r="A113" i="2"/>
  <c r="B77" i="2"/>
  <c r="C77" i="2"/>
  <c r="D77" i="2"/>
  <c r="E77" i="2"/>
  <c r="F77" i="2"/>
  <c r="G77" i="2"/>
  <c r="H77" i="2"/>
  <c r="I77" i="2"/>
  <c r="J77" i="2"/>
  <c r="B78" i="2"/>
  <c r="C78" i="2"/>
  <c r="D78" i="2"/>
  <c r="E78" i="2"/>
  <c r="F78" i="2"/>
  <c r="G78" i="2"/>
  <c r="H78" i="2"/>
  <c r="I78" i="2"/>
  <c r="J78" i="2"/>
  <c r="B79" i="2"/>
  <c r="C79" i="2"/>
  <c r="D79" i="2"/>
  <c r="E79" i="2"/>
  <c r="F79" i="2"/>
  <c r="G79" i="2"/>
  <c r="H79" i="2"/>
  <c r="I79" i="2"/>
  <c r="J79" i="2"/>
  <c r="B80" i="2"/>
  <c r="C80" i="2"/>
  <c r="D80" i="2"/>
  <c r="E80" i="2"/>
  <c r="F80" i="2"/>
  <c r="G80" i="2"/>
  <c r="H80" i="2"/>
  <c r="I80" i="2"/>
  <c r="J80" i="2"/>
  <c r="B81" i="2"/>
  <c r="C81" i="2"/>
  <c r="D81" i="2"/>
  <c r="E81" i="2"/>
  <c r="F81" i="2"/>
  <c r="G81" i="2"/>
  <c r="H81" i="2"/>
  <c r="I81" i="2"/>
  <c r="J81" i="2"/>
  <c r="B82" i="2"/>
  <c r="C82" i="2"/>
  <c r="D82" i="2"/>
  <c r="E82" i="2"/>
  <c r="F82" i="2"/>
  <c r="G82" i="2"/>
  <c r="H82" i="2"/>
  <c r="I82" i="2"/>
  <c r="J82" i="2"/>
  <c r="B83" i="2"/>
  <c r="C83" i="2"/>
  <c r="D83" i="2"/>
  <c r="E83" i="2"/>
  <c r="F83" i="2"/>
  <c r="G83" i="2"/>
  <c r="H83" i="2"/>
  <c r="I83" i="2"/>
  <c r="J83" i="2"/>
  <c r="B84" i="2"/>
  <c r="C84" i="2"/>
  <c r="D84" i="2"/>
  <c r="E84" i="2"/>
  <c r="F84" i="2"/>
  <c r="G84" i="2"/>
  <c r="H84" i="2"/>
  <c r="I84" i="2"/>
  <c r="J84" i="2"/>
  <c r="A78" i="2"/>
  <c r="A79" i="2"/>
  <c r="A80" i="2"/>
  <c r="A81" i="2"/>
  <c r="A82" i="2"/>
  <c r="A83" i="2"/>
  <c r="A84" i="2"/>
  <c r="A77" i="2"/>
  <c r="B48" i="2"/>
  <c r="C48" i="2"/>
  <c r="D48" i="2"/>
  <c r="E48" i="2"/>
  <c r="F48" i="2"/>
  <c r="G48" i="2"/>
  <c r="H48" i="2"/>
  <c r="I48" i="2"/>
  <c r="J48" i="2"/>
  <c r="B49" i="2"/>
  <c r="C49" i="2"/>
  <c r="D49" i="2"/>
  <c r="E49" i="2"/>
  <c r="F49" i="2"/>
  <c r="G49" i="2"/>
  <c r="H49" i="2"/>
  <c r="I49" i="2"/>
  <c r="J49" i="2"/>
  <c r="B50" i="2"/>
  <c r="C50" i="2"/>
  <c r="D50" i="2"/>
  <c r="E50" i="2"/>
  <c r="F50" i="2"/>
  <c r="G50" i="2"/>
  <c r="H50" i="2"/>
  <c r="I50" i="2"/>
  <c r="J50" i="2"/>
  <c r="B51" i="2"/>
  <c r="C51" i="2"/>
  <c r="D51" i="2"/>
  <c r="E51" i="2"/>
  <c r="F51" i="2"/>
  <c r="G51" i="2"/>
  <c r="H51" i="2"/>
  <c r="I51" i="2"/>
  <c r="J51" i="2"/>
  <c r="B52" i="2"/>
  <c r="C52" i="2"/>
  <c r="D52" i="2"/>
  <c r="E52" i="2"/>
  <c r="F52" i="2"/>
  <c r="G52" i="2"/>
  <c r="H52" i="2"/>
  <c r="I52" i="2"/>
  <c r="J52" i="2"/>
  <c r="B53" i="2"/>
  <c r="C53" i="2"/>
  <c r="D53" i="2"/>
  <c r="E53" i="2"/>
  <c r="F53" i="2"/>
  <c r="G53" i="2"/>
  <c r="H53" i="2"/>
  <c r="I53" i="2"/>
  <c r="J53" i="2"/>
  <c r="B54" i="2"/>
  <c r="C54" i="2"/>
  <c r="D54" i="2"/>
  <c r="E54" i="2"/>
  <c r="F54" i="2"/>
  <c r="G54" i="2"/>
  <c r="H54" i="2"/>
  <c r="I54" i="2"/>
  <c r="J54" i="2"/>
  <c r="B55" i="2"/>
  <c r="C55" i="2"/>
  <c r="D55" i="2"/>
  <c r="E55" i="2"/>
  <c r="F55" i="2"/>
  <c r="G55" i="2"/>
  <c r="H55" i="2"/>
  <c r="I55" i="2"/>
  <c r="J55" i="2"/>
  <c r="A49" i="2"/>
  <c r="A50" i="2"/>
  <c r="A51" i="2"/>
  <c r="A52" i="2"/>
  <c r="A53" i="2"/>
  <c r="A54" i="2"/>
  <c r="A55" i="2"/>
  <c r="A48" i="2"/>
  <c r="B72" i="17"/>
  <c r="B73" i="17"/>
  <c r="B74" i="17"/>
  <c r="B75" i="17"/>
  <c r="B76" i="17"/>
  <c r="B77" i="17"/>
  <c r="B78" i="17"/>
  <c r="B79" i="17"/>
  <c r="A73" i="17"/>
  <c r="A74" i="17"/>
  <c r="A75" i="17"/>
  <c r="A76" i="17"/>
  <c r="A77" i="17"/>
  <c r="A78" i="17"/>
  <c r="A79" i="17"/>
  <c r="A72" i="17"/>
  <c r="B43" i="17"/>
  <c r="B44" i="17"/>
  <c r="B45" i="17"/>
  <c r="B46" i="17"/>
  <c r="B47" i="17"/>
  <c r="B48" i="17"/>
  <c r="B49" i="17"/>
  <c r="B50" i="17"/>
  <c r="A50" i="17"/>
  <c r="A44" i="17"/>
  <c r="A45" i="17"/>
  <c r="A46" i="17"/>
  <c r="A47" i="17"/>
  <c r="A48" i="17"/>
  <c r="A49" i="17"/>
  <c r="A43" i="17"/>
  <c r="B108" i="17"/>
  <c r="B110" i="17"/>
  <c r="B111" i="17"/>
  <c r="B112" i="17"/>
  <c r="B113" i="17"/>
  <c r="B114" i="17"/>
  <c r="B115" i="17"/>
  <c r="A109" i="17"/>
  <c r="A110" i="17"/>
  <c r="A111" i="17"/>
  <c r="A112" i="17"/>
  <c r="A113" i="17"/>
  <c r="A114" i="17"/>
  <c r="A115" i="17"/>
  <c r="B109" i="17"/>
  <c r="A108" i="17"/>
  <c r="B98" i="17"/>
  <c r="B33" i="17"/>
  <c r="B32" i="17"/>
  <c r="B61" i="17" s="1"/>
  <c r="B31" i="17"/>
  <c r="B60" i="17" s="1"/>
  <c r="B30" i="17"/>
  <c r="B29" i="17"/>
  <c r="B15" i="17"/>
  <c r="B13" i="17"/>
  <c r="B9" i="17"/>
  <c r="B5" i="17"/>
  <c r="B4" i="17"/>
  <c r="B7" i="17"/>
  <c r="B197" i="16"/>
  <c r="B105" i="16"/>
  <c r="B106" i="16" s="1"/>
  <c r="B58" i="17" s="1"/>
  <c r="B19" i="16"/>
  <c r="B302" i="16" s="1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41" i="17"/>
  <c r="B70" i="17" s="1"/>
  <c r="B40" i="17"/>
  <c r="B69" i="17" s="1"/>
  <c r="B37" i="17"/>
  <c r="B36" i="17"/>
  <c r="B35" i="17"/>
  <c r="B64" i="17" s="1"/>
  <c r="B34" i="17"/>
  <c r="B62" i="17"/>
  <c r="B585" i="16"/>
  <c r="B584" i="16"/>
  <c r="B590" i="16" s="1"/>
  <c r="B556" i="16"/>
  <c r="B555" i="16"/>
  <c r="B554" i="16"/>
  <c r="B553" i="16"/>
  <c r="B537" i="16"/>
  <c r="B528" i="16"/>
  <c r="B526" i="16"/>
  <c r="A512" i="16"/>
  <c r="A511" i="16"/>
  <c r="A510" i="16"/>
  <c r="A509" i="16"/>
  <c r="A508" i="16"/>
  <c r="A507" i="16"/>
  <c r="B472" i="16"/>
  <c r="B407" i="16"/>
  <c r="B406" i="16"/>
  <c r="B403" i="16"/>
  <c r="B402" i="16"/>
  <c r="B398" i="16"/>
  <c r="B400" i="16" s="1"/>
  <c r="B104" i="17" s="1"/>
  <c r="B395" i="16"/>
  <c r="B396" i="16" s="1"/>
  <c r="B103" i="17" s="1"/>
  <c r="B389" i="16"/>
  <c r="B390" i="16" s="1"/>
  <c r="B385" i="16"/>
  <c r="B386" i="16" s="1"/>
  <c r="B381" i="16"/>
  <c r="B380" i="16"/>
  <c r="B377" i="16"/>
  <c r="B373" i="16"/>
  <c r="B372" i="16"/>
  <c r="B369" i="16"/>
  <c r="B370" i="16" s="1"/>
  <c r="B358" i="16"/>
  <c r="B346" i="16"/>
  <c r="B345" i="16"/>
  <c r="B343" i="16"/>
  <c r="B342" i="16"/>
  <c r="B341" i="16"/>
  <c r="B339" i="16"/>
  <c r="B338" i="16"/>
  <c r="B336" i="16"/>
  <c r="B334" i="16"/>
  <c r="B327" i="16"/>
  <c r="B326" i="16"/>
  <c r="B325" i="16"/>
  <c r="B324" i="16"/>
  <c r="B320" i="16"/>
  <c r="B96" i="17" s="1"/>
  <c r="B311" i="16"/>
  <c r="B313" i="16" s="1"/>
  <c r="B95" i="17" s="1"/>
  <c r="B297" i="16"/>
  <c r="B295" i="16"/>
  <c r="B293" i="16"/>
  <c r="B283" i="16"/>
  <c r="B284" i="16" s="1"/>
  <c r="B277" i="16"/>
  <c r="B278" i="16" s="1"/>
  <c r="B228" i="16"/>
  <c r="B466" i="16" s="1"/>
  <c r="B468" i="16" s="1"/>
  <c r="B226" i="16"/>
  <c r="B223" i="16"/>
  <c r="B255" i="16" s="1"/>
  <c r="B218" i="16"/>
  <c r="B217" i="16"/>
  <c r="B214" i="16"/>
  <c r="B207" i="16"/>
  <c r="B453" i="16" s="1"/>
  <c r="B455" i="16" s="1"/>
  <c r="B205" i="16"/>
  <c r="B202" i="16"/>
  <c r="B246" i="16" s="1"/>
  <c r="B196" i="16"/>
  <c r="B193" i="16"/>
  <c r="B185" i="16"/>
  <c r="B439" i="16" s="1"/>
  <c r="B441" i="16" s="1"/>
  <c r="B183" i="16"/>
  <c r="B180" i="16"/>
  <c r="B240" i="16" s="1"/>
  <c r="B175" i="16"/>
  <c r="B174" i="16"/>
  <c r="B171" i="16"/>
  <c r="B164" i="16"/>
  <c r="B426" i="16" s="1"/>
  <c r="B428" i="16" s="1"/>
  <c r="B162" i="16"/>
  <c r="B159" i="16"/>
  <c r="B234" i="16" s="1"/>
  <c r="B153" i="16"/>
  <c r="B150" i="16"/>
  <c r="B113" i="16"/>
  <c r="B114" i="16" s="1"/>
  <c r="B59" i="17" s="1"/>
  <c r="B109" i="16"/>
  <c r="B101" i="16"/>
  <c r="B42" i="17"/>
  <c r="B71" i="17" s="1"/>
  <c r="B38" i="17"/>
  <c r="B44" i="16"/>
  <c r="B43" i="16"/>
  <c r="B120" i="16" s="1"/>
  <c r="B42" i="16"/>
  <c r="B119" i="16" s="1"/>
  <c r="B34" i="16"/>
  <c r="B535" i="16" s="1"/>
  <c r="B32" i="16"/>
  <c r="B589" i="16" s="1"/>
  <c r="B17" i="16"/>
  <c r="B6" i="16"/>
  <c r="B6" i="17" s="1"/>
  <c r="B171" i="2"/>
  <c r="C171" i="2"/>
  <c r="D171" i="2"/>
  <c r="E171" i="2"/>
  <c r="F171" i="2"/>
  <c r="G171" i="2"/>
  <c r="H171" i="2"/>
  <c r="I171" i="2"/>
  <c r="J171" i="2"/>
  <c r="B172" i="2"/>
  <c r="C172" i="2"/>
  <c r="D172" i="2"/>
  <c r="E172" i="2"/>
  <c r="F172" i="2"/>
  <c r="G172" i="2"/>
  <c r="H172" i="2"/>
  <c r="I172" i="2"/>
  <c r="J172" i="2"/>
  <c r="B173" i="2"/>
  <c r="C173" i="2"/>
  <c r="D173" i="2"/>
  <c r="E173" i="2"/>
  <c r="F173" i="2"/>
  <c r="G173" i="2"/>
  <c r="H173" i="2"/>
  <c r="I173" i="2"/>
  <c r="J173" i="2"/>
  <c r="B174" i="2"/>
  <c r="C174" i="2"/>
  <c r="D174" i="2"/>
  <c r="E174" i="2"/>
  <c r="F174" i="2"/>
  <c r="G174" i="2"/>
  <c r="H174" i="2"/>
  <c r="I174" i="2"/>
  <c r="J174" i="2"/>
  <c r="B175" i="2"/>
  <c r="C175" i="2"/>
  <c r="D175" i="2"/>
  <c r="E175" i="2"/>
  <c r="F175" i="2"/>
  <c r="G175" i="2"/>
  <c r="H175" i="2"/>
  <c r="I175" i="2"/>
  <c r="J175" i="2"/>
  <c r="B176" i="2"/>
  <c r="C176" i="2"/>
  <c r="D176" i="2"/>
  <c r="E176" i="2"/>
  <c r="F176" i="2"/>
  <c r="G176" i="2"/>
  <c r="H176" i="2"/>
  <c r="I176" i="2"/>
  <c r="J176" i="2"/>
  <c r="B177" i="2"/>
  <c r="C177" i="2"/>
  <c r="D177" i="2"/>
  <c r="E177" i="2"/>
  <c r="F177" i="2"/>
  <c r="G177" i="2"/>
  <c r="H177" i="2"/>
  <c r="I177" i="2"/>
  <c r="J177" i="2"/>
  <c r="B178" i="2"/>
  <c r="C178" i="2"/>
  <c r="D178" i="2"/>
  <c r="E178" i="2"/>
  <c r="F178" i="2"/>
  <c r="G178" i="2"/>
  <c r="H178" i="2"/>
  <c r="I178" i="2"/>
  <c r="J178" i="2"/>
  <c r="B179" i="2"/>
  <c r="C179" i="2"/>
  <c r="D179" i="2"/>
  <c r="E179" i="2"/>
  <c r="F179" i="2"/>
  <c r="G179" i="2"/>
  <c r="H179" i="2"/>
  <c r="I179" i="2"/>
  <c r="J179" i="2"/>
  <c r="B180" i="2"/>
  <c r="C180" i="2"/>
  <c r="D180" i="2"/>
  <c r="E180" i="2"/>
  <c r="F180" i="2"/>
  <c r="G180" i="2"/>
  <c r="H180" i="2"/>
  <c r="I180" i="2"/>
  <c r="J180" i="2"/>
  <c r="B181" i="2"/>
  <c r="C181" i="2"/>
  <c r="D181" i="2"/>
  <c r="E181" i="2"/>
  <c r="F181" i="2"/>
  <c r="G181" i="2"/>
  <c r="H181" i="2"/>
  <c r="I181" i="2"/>
  <c r="J181" i="2"/>
  <c r="B182" i="2"/>
  <c r="C182" i="2"/>
  <c r="D182" i="2"/>
  <c r="E182" i="2"/>
  <c r="F182" i="2"/>
  <c r="G182" i="2"/>
  <c r="H182" i="2"/>
  <c r="I182" i="2"/>
  <c r="J182" i="2"/>
  <c r="B348" i="1"/>
  <c r="O23" i="14"/>
  <c r="O21" i="14"/>
  <c r="D8" i="12"/>
  <c r="D42" i="13"/>
  <c r="D9" i="12"/>
  <c r="G9" i="12" s="1"/>
  <c r="D11" i="12"/>
  <c r="G11" i="12" s="1"/>
  <c r="A8" i="5"/>
  <c r="A7" i="5"/>
  <c r="A6" i="5"/>
  <c r="AW158" i="15"/>
  <c r="AW95" i="15"/>
  <c r="AK111" i="15"/>
  <c r="AK135" i="15"/>
  <c r="BF135" i="15" s="1"/>
  <c r="AK134" i="15"/>
  <c r="AK133" i="15"/>
  <c r="AK132" i="15"/>
  <c r="AK131" i="15"/>
  <c r="AM131" i="15" s="1"/>
  <c r="BH131" i="15" s="1"/>
  <c r="AK130" i="15"/>
  <c r="AK129" i="15"/>
  <c r="BF129" i="15" s="1"/>
  <c r="AK128" i="15"/>
  <c r="BF128" i="15" s="1"/>
  <c r="AK127" i="15"/>
  <c r="BF127" i="15" s="1"/>
  <c r="AK126" i="15"/>
  <c r="AK125" i="15"/>
  <c r="AM125" i="15" s="1"/>
  <c r="BH125" i="15" s="1"/>
  <c r="AK124" i="15"/>
  <c r="BF124" i="15" s="1"/>
  <c r="AK123" i="15"/>
  <c r="AM123" i="15" s="1"/>
  <c r="BH123" i="15" s="1"/>
  <c r="AK122" i="15"/>
  <c r="BF122" i="15" s="1"/>
  <c r="AK121" i="15"/>
  <c r="BF121" i="15" s="1"/>
  <c r="AK120" i="15"/>
  <c r="BF120" i="15" s="1"/>
  <c r="AK119" i="15"/>
  <c r="BF119" i="15" s="1"/>
  <c r="AK118" i="15"/>
  <c r="AK117" i="15"/>
  <c r="AK116" i="15"/>
  <c r="BF116" i="15" s="1"/>
  <c r="AK115" i="15"/>
  <c r="BF115" i="15" s="1"/>
  <c r="AK114" i="15"/>
  <c r="AK113" i="15"/>
  <c r="AK112" i="15"/>
  <c r="AH94" i="15"/>
  <c r="AH59" i="15"/>
  <c r="AH31" i="15"/>
  <c r="V137" i="15"/>
  <c r="V94" i="15"/>
  <c r="V59" i="15"/>
  <c r="G94" i="15"/>
  <c r="G102" i="15"/>
  <c r="G101" i="15"/>
  <c r="H101" i="15" s="1"/>
  <c r="AT94" i="15"/>
  <c r="AQ94" i="15"/>
  <c r="AN94" i="15"/>
  <c r="AE94" i="15"/>
  <c r="AB94" i="15"/>
  <c r="S94" i="15"/>
  <c r="P94" i="15"/>
  <c r="J94" i="15"/>
  <c r="D94" i="15"/>
  <c r="B94" i="15"/>
  <c r="AK93" i="15"/>
  <c r="AK75" i="15"/>
  <c r="AK76" i="15"/>
  <c r="AK77" i="15"/>
  <c r="AK78" i="15"/>
  <c r="AK79" i="15"/>
  <c r="BF79" i="15" s="1"/>
  <c r="AK80" i="15"/>
  <c r="AK81" i="15"/>
  <c r="AK82" i="15"/>
  <c r="AK83" i="15"/>
  <c r="BF83" i="15" s="1"/>
  <c r="AK84" i="15"/>
  <c r="AK85" i="15"/>
  <c r="AK86" i="15"/>
  <c r="AK87" i="15"/>
  <c r="BF87" i="15" s="1"/>
  <c r="AK88" i="15"/>
  <c r="AK89" i="15"/>
  <c r="AK90" i="15"/>
  <c r="AK91" i="15"/>
  <c r="BF91" i="15" s="1"/>
  <c r="AK92" i="15"/>
  <c r="AK74" i="15"/>
  <c r="BF74" i="15" s="1"/>
  <c r="AK73" i="15"/>
  <c r="AK72" i="15"/>
  <c r="AK71" i="15"/>
  <c r="AK70" i="15"/>
  <c r="BF70" i="15" s="1"/>
  <c r="AK69" i="15"/>
  <c r="AK68" i="15"/>
  <c r="AK67" i="15"/>
  <c r="AK66" i="15"/>
  <c r="BF66" i="15" s="1"/>
  <c r="AK65" i="15"/>
  <c r="AK64" i="15"/>
  <c r="AK94" i="15" s="1"/>
  <c r="AK63" i="15"/>
  <c r="BL152" i="15"/>
  <c r="BL156" i="15"/>
  <c r="BI158" i="15"/>
  <c r="M158" i="15"/>
  <c r="AW159" i="15"/>
  <c r="AK159" i="15"/>
  <c r="AK158" i="15"/>
  <c r="Y159" i="15"/>
  <c r="Z159" i="15" s="1"/>
  <c r="BD159" i="15" s="1"/>
  <c r="Y158" i="15"/>
  <c r="M159" i="15"/>
  <c r="AJ159" i="15" s="1"/>
  <c r="AI158" i="15"/>
  <c r="AI159" i="15"/>
  <c r="AO158" i="15"/>
  <c r="AR158" i="15"/>
  <c r="AU159" i="15"/>
  <c r="AT154" i="15"/>
  <c r="AN155" i="15"/>
  <c r="AN154" i="15"/>
  <c r="AE153" i="15"/>
  <c r="AB153" i="15"/>
  <c r="V153" i="15"/>
  <c r="S155" i="15"/>
  <c r="S153" i="15"/>
  <c r="AF158" i="15"/>
  <c r="AC159" i="15"/>
  <c r="Z158" i="15"/>
  <c r="BD158" i="15" s="1"/>
  <c r="W158" i="15"/>
  <c r="Q159" i="15"/>
  <c r="Q158" i="15"/>
  <c r="K159" i="15"/>
  <c r="L158" i="15"/>
  <c r="K158" i="15"/>
  <c r="I158" i="15"/>
  <c r="H158" i="15"/>
  <c r="E159" i="15"/>
  <c r="F158" i="15"/>
  <c r="E158" i="15"/>
  <c r="C159" i="15"/>
  <c r="AR159" i="15" s="1"/>
  <c r="C158" i="15"/>
  <c r="AU158" i="15" s="1"/>
  <c r="AX132" i="15"/>
  <c r="AT137" i="15"/>
  <c r="AT153" i="15" s="1"/>
  <c r="AQ137" i="15"/>
  <c r="AQ153" i="15" s="1"/>
  <c r="AN137" i="15"/>
  <c r="AN153" i="15" s="1"/>
  <c r="AH137" i="15"/>
  <c r="AB137" i="15"/>
  <c r="J137" i="15"/>
  <c r="AW135" i="15"/>
  <c r="AX135" i="15" s="1"/>
  <c r="BJ135" i="15" s="1"/>
  <c r="AR135" i="15"/>
  <c r="AL135" i="15"/>
  <c r="BG135" i="15" s="1"/>
  <c r="Z135" i="15"/>
  <c r="BD135" i="15" s="1"/>
  <c r="Y135" i="15"/>
  <c r="M135" i="15"/>
  <c r="K135" i="15"/>
  <c r="E135" i="15"/>
  <c r="C135" i="15"/>
  <c r="W135" i="15" s="1"/>
  <c r="BF134" i="15"/>
  <c r="BC134" i="15"/>
  <c r="AX134" i="15"/>
  <c r="BJ134" i="15" s="1"/>
  <c r="AW134" i="15"/>
  <c r="BI134" i="15" s="1"/>
  <c r="AU134" i="15"/>
  <c r="AF134" i="15"/>
  <c r="Y134" i="15"/>
  <c r="M134" i="15"/>
  <c r="AZ134" i="15" s="1"/>
  <c r="F134" i="15"/>
  <c r="C134" i="15"/>
  <c r="Z134" i="15" s="1"/>
  <c r="BD134" i="15" s="1"/>
  <c r="AZ133" i="15"/>
  <c r="AW133" i="15"/>
  <c r="Y133" i="15"/>
  <c r="M133" i="15"/>
  <c r="C133" i="15"/>
  <c r="AW132" i="15"/>
  <c r="BI132" i="15" s="1"/>
  <c r="Z132" i="15"/>
  <c r="BD132" i="15" s="1"/>
  <c r="Y132" i="15"/>
  <c r="T132" i="15"/>
  <c r="M132" i="15"/>
  <c r="O132" i="15" s="1"/>
  <c r="BB132" i="15" s="1"/>
  <c r="I132" i="15"/>
  <c r="C132" i="15"/>
  <c r="BF131" i="15"/>
  <c r="AX131" i="15"/>
  <c r="BJ131" i="15" s="1"/>
  <c r="AW131" i="15"/>
  <c r="BI131" i="15" s="1"/>
  <c r="AU131" i="15"/>
  <c r="AI131" i="15"/>
  <c r="AC131" i="15"/>
  <c r="AA131" i="15"/>
  <c r="BE131" i="15" s="1"/>
  <c r="Y131" i="15"/>
  <c r="BC131" i="15" s="1"/>
  <c r="W131" i="15"/>
  <c r="R131" i="15"/>
  <c r="Q131" i="15"/>
  <c r="M131" i="15"/>
  <c r="L131" i="15"/>
  <c r="H131" i="15"/>
  <c r="F131" i="15"/>
  <c r="C131" i="15"/>
  <c r="T131" i="15" s="1"/>
  <c r="BF130" i="15"/>
  <c r="AZ130" i="15"/>
  <c r="AW130" i="15"/>
  <c r="BI130" i="15" s="1"/>
  <c r="Y130" i="15"/>
  <c r="N130" i="15"/>
  <c r="BA130" i="15" s="1"/>
  <c r="M130" i="15"/>
  <c r="I130" i="15"/>
  <c r="C130" i="15"/>
  <c r="BC129" i="15"/>
  <c r="AX129" i="15"/>
  <c r="BJ129" i="15" s="1"/>
  <c r="AW129" i="15"/>
  <c r="BI129" i="15" s="1"/>
  <c r="AU129" i="15"/>
  <c r="AO129" i="15"/>
  <c r="AI129" i="15"/>
  <c r="Y129" i="15"/>
  <c r="W129" i="15"/>
  <c r="Q129" i="15"/>
  <c r="M129" i="15"/>
  <c r="L129" i="15"/>
  <c r="H129" i="15"/>
  <c r="F129" i="15"/>
  <c r="C129" i="15"/>
  <c r="T129" i="15" s="1"/>
  <c r="AW128" i="15"/>
  <c r="BI128" i="15" s="1"/>
  <c r="Y128" i="15"/>
  <c r="M128" i="15"/>
  <c r="N128" i="15" s="1"/>
  <c r="BA128" i="15" s="1"/>
  <c r="E128" i="15"/>
  <c r="C128" i="15"/>
  <c r="BC127" i="15"/>
  <c r="AX127" i="15"/>
  <c r="BJ127" i="15" s="1"/>
  <c r="AW127" i="15"/>
  <c r="BI127" i="15" s="1"/>
  <c r="AO127" i="15"/>
  <c r="AC127" i="15"/>
  <c r="Y127" i="15"/>
  <c r="W127" i="15"/>
  <c r="M127" i="15"/>
  <c r="AS127" i="15" s="1"/>
  <c r="H127" i="15"/>
  <c r="F127" i="15"/>
  <c r="C127" i="15"/>
  <c r="BF126" i="15"/>
  <c r="AZ126" i="15"/>
  <c r="AW126" i="15"/>
  <c r="BI126" i="15" s="1"/>
  <c r="Y126" i="15"/>
  <c r="M126" i="15"/>
  <c r="C126" i="15"/>
  <c r="N126" i="15" s="1"/>
  <c r="BA126" i="15" s="1"/>
  <c r="BF125" i="15"/>
  <c r="BC125" i="15"/>
  <c r="AW125" i="15"/>
  <c r="AU125" i="15"/>
  <c r="AO125" i="15"/>
  <c r="AI125" i="15"/>
  <c r="AC125" i="15"/>
  <c r="AA125" i="15"/>
  <c r="BE125" i="15" s="1"/>
  <c r="Y125" i="15"/>
  <c r="W125" i="15"/>
  <c r="R125" i="15"/>
  <c r="Q125" i="15"/>
  <c r="M125" i="15"/>
  <c r="L125" i="15"/>
  <c r="H125" i="15"/>
  <c r="F125" i="15"/>
  <c r="C125" i="15"/>
  <c r="T125" i="15" s="1"/>
  <c r="AW124" i="15"/>
  <c r="Y124" i="15"/>
  <c r="M124" i="15"/>
  <c r="AZ124" i="15" s="1"/>
  <c r="K124" i="15"/>
  <c r="C124" i="15"/>
  <c r="E124" i="15" s="1"/>
  <c r="BF123" i="15"/>
  <c r="AW123" i="15"/>
  <c r="BI123" i="15" s="1"/>
  <c r="AU123" i="15"/>
  <c r="AI123" i="15"/>
  <c r="AC123" i="15"/>
  <c r="AA123" i="15"/>
  <c r="BE123" i="15" s="1"/>
  <c r="Y123" i="15"/>
  <c r="BC123" i="15" s="1"/>
  <c r="W123" i="15"/>
  <c r="R123" i="15"/>
  <c r="Q123" i="15"/>
  <c r="M123" i="15"/>
  <c r="L123" i="15"/>
  <c r="H123" i="15"/>
  <c r="F123" i="15"/>
  <c r="C123" i="15"/>
  <c r="T123" i="15" s="1"/>
  <c r="AZ122" i="15"/>
  <c r="AW122" i="15"/>
  <c r="AL122" i="15"/>
  <c r="BG122" i="15" s="1"/>
  <c r="Y122" i="15"/>
  <c r="Z122" i="15" s="1"/>
  <c r="BD122" i="15" s="1"/>
  <c r="O122" i="15"/>
  <c r="BB122" i="15" s="1"/>
  <c r="M122" i="15"/>
  <c r="I122" i="15"/>
  <c r="E122" i="15"/>
  <c r="C122" i="15"/>
  <c r="T122" i="15" s="1"/>
  <c r="BC121" i="15"/>
  <c r="AX121" i="15"/>
  <c r="BJ121" i="15" s="1"/>
  <c r="AW121" i="15"/>
  <c r="BI121" i="15" s="1"/>
  <c r="AU121" i="15"/>
  <c r="AO121" i="15"/>
  <c r="AI121" i="15"/>
  <c r="Y121" i="15"/>
  <c r="W121" i="15"/>
  <c r="Q121" i="15"/>
  <c r="M121" i="15"/>
  <c r="L121" i="15"/>
  <c r="H121" i="15"/>
  <c r="F121" i="15"/>
  <c r="C121" i="15"/>
  <c r="T121" i="15" s="1"/>
  <c r="AW120" i="15"/>
  <c r="BI120" i="15" s="1"/>
  <c r="Y120" i="15"/>
  <c r="M120" i="15"/>
  <c r="N120" i="15" s="1"/>
  <c r="BA120" i="15" s="1"/>
  <c r="E120" i="15"/>
  <c r="C120" i="15"/>
  <c r="AL120" i="15" s="1"/>
  <c r="BG120" i="15" s="1"/>
  <c r="AX119" i="15"/>
  <c r="BJ119" i="15" s="1"/>
  <c r="AW119" i="15"/>
  <c r="BI119" i="15" s="1"/>
  <c r="AU119" i="15"/>
  <c r="AO119" i="15"/>
  <c r="AI119" i="15"/>
  <c r="Y119" i="15"/>
  <c r="BC119" i="15" s="1"/>
  <c r="W119" i="15"/>
  <c r="Q119" i="15"/>
  <c r="M119" i="15"/>
  <c r="L119" i="15"/>
  <c r="H119" i="15"/>
  <c r="F119" i="15"/>
  <c r="C119" i="15"/>
  <c r="T119" i="15" s="1"/>
  <c r="BF118" i="15"/>
  <c r="AW118" i="15"/>
  <c r="BI118" i="15" s="1"/>
  <c r="Y118" i="15"/>
  <c r="M118" i="15"/>
  <c r="AZ118" i="15" s="1"/>
  <c r="C118" i="15"/>
  <c r="AW117" i="15"/>
  <c r="AC117" i="15"/>
  <c r="Y117" i="15"/>
  <c r="W117" i="15"/>
  <c r="M117" i="15"/>
  <c r="R117" i="15" s="1"/>
  <c r="H117" i="15"/>
  <c r="C117" i="15"/>
  <c r="AU117" i="15" s="1"/>
  <c r="AZ116" i="15"/>
  <c r="AW116" i="15"/>
  <c r="Z116" i="15"/>
  <c r="BD116" i="15" s="1"/>
  <c r="Y116" i="15"/>
  <c r="T116" i="15"/>
  <c r="M116" i="15"/>
  <c r="O116" i="15" s="1"/>
  <c r="BB116" i="15" s="1"/>
  <c r="K116" i="15"/>
  <c r="E116" i="15"/>
  <c r="C116" i="15"/>
  <c r="I116" i="15" s="1"/>
  <c r="AW115" i="15"/>
  <c r="AC115" i="15"/>
  <c r="Y115" i="15"/>
  <c r="W115" i="15"/>
  <c r="M115" i="15"/>
  <c r="H115" i="15"/>
  <c r="C115" i="15"/>
  <c r="AU115" i="15" s="1"/>
  <c r="BF114" i="15"/>
  <c r="AW114" i="15"/>
  <c r="AL114" i="15"/>
  <c r="BG114" i="15" s="1"/>
  <c r="Z114" i="15"/>
  <c r="BD114" i="15" s="1"/>
  <c r="Y114" i="15"/>
  <c r="N114" i="15"/>
  <c r="BA114" i="15" s="1"/>
  <c r="M114" i="15"/>
  <c r="O114" i="15" s="1"/>
  <c r="BB114" i="15" s="1"/>
  <c r="I114" i="15"/>
  <c r="C114" i="15"/>
  <c r="AX113" i="15"/>
  <c r="BJ113" i="15" s="1"/>
  <c r="AW113" i="15"/>
  <c r="BI113" i="15" s="1"/>
  <c r="AC113" i="15"/>
  <c r="Y113" i="15"/>
  <c r="M113" i="15"/>
  <c r="L113" i="15"/>
  <c r="C113" i="15"/>
  <c r="Q113" i="15" s="1"/>
  <c r="BF112" i="15"/>
  <c r="AW112" i="15"/>
  <c r="BI112" i="15" s="1"/>
  <c r="Y112" i="15"/>
  <c r="M112" i="15"/>
  <c r="C112" i="15"/>
  <c r="E112" i="15" s="1"/>
  <c r="BF111" i="15"/>
  <c r="BC111" i="15"/>
  <c r="AW111" i="15"/>
  <c r="BI111" i="15" s="1"/>
  <c r="Y111" i="15"/>
  <c r="M111" i="15"/>
  <c r="C111" i="15"/>
  <c r="B137" i="15"/>
  <c r="D137" i="15"/>
  <c r="G137" i="15"/>
  <c r="P137" i="15"/>
  <c r="S137" i="15"/>
  <c r="AE137" i="15"/>
  <c r="BM106" i="15"/>
  <c r="AX106" i="15"/>
  <c r="BJ106" i="15" s="1"/>
  <c r="AY106" i="15"/>
  <c r="BK106" i="15" s="1"/>
  <c r="AU106" i="15"/>
  <c r="AV106" i="15"/>
  <c r="AR106" i="15"/>
  <c r="AS106" i="15"/>
  <c r="AO106" i="15"/>
  <c r="AP106" i="15"/>
  <c r="AL106" i="15"/>
  <c r="BG106" i="15" s="1"/>
  <c r="AM106" i="15"/>
  <c r="BH106" i="15" s="1"/>
  <c r="AI106" i="15"/>
  <c r="AJ106" i="15"/>
  <c r="AF106" i="15"/>
  <c r="AG106" i="15"/>
  <c r="AC106" i="15"/>
  <c r="AD106" i="15"/>
  <c r="Z106" i="15"/>
  <c r="BD106" i="15" s="1"/>
  <c r="AA106" i="15"/>
  <c r="BE106" i="15" s="1"/>
  <c r="W106" i="15"/>
  <c r="X106" i="15"/>
  <c r="T106" i="15"/>
  <c r="U106" i="15"/>
  <c r="Q106" i="15"/>
  <c r="R106" i="15"/>
  <c r="N106" i="15"/>
  <c r="BA106" i="15" s="1"/>
  <c r="O106" i="15"/>
  <c r="BB106" i="15" s="1"/>
  <c r="K106" i="15"/>
  <c r="L106" i="15"/>
  <c r="AT102" i="15"/>
  <c r="AT101" i="15"/>
  <c r="AQ102" i="15"/>
  <c r="AQ101" i="15"/>
  <c r="AN102" i="15"/>
  <c r="AN101" i="15"/>
  <c r="AN104" i="15" s="1"/>
  <c r="AH102" i="15"/>
  <c r="AH101" i="15"/>
  <c r="AE102" i="15"/>
  <c r="AE101" i="15"/>
  <c r="AB102" i="15"/>
  <c r="AB101" i="15"/>
  <c r="AB104" i="15" s="1"/>
  <c r="V105" i="15"/>
  <c r="V102" i="15"/>
  <c r="V101" i="15"/>
  <c r="S102" i="15"/>
  <c r="S101" i="15"/>
  <c r="S104" i="15" s="1"/>
  <c r="P104" i="15"/>
  <c r="P102" i="15"/>
  <c r="P101" i="15"/>
  <c r="J102" i="15"/>
  <c r="J101" i="15"/>
  <c r="G104" i="15"/>
  <c r="D102" i="15"/>
  <c r="D101" i="15"/>
  <c r="C102" i="15"/>
  <c r="H102" i="15" s="1"/>
  <c r="B102" i="15"/>
  <c r="B101" i="15"/>
  <c r="C101" i="15" s="1"/>
  <c r="BF93" i="15"/>
  <c r="BF92" i="15"/>
  <c r="BF90" i="15"/>
  <c r="BF89" i="15"/>
  <c r="BF88" i="15"/>
  <c r="BF86" i="15"/>
  <c r="BF85" i="15"/>
  <c r="BF84" i="15"/>
  <c r="BF82" i="15"/>
  <c r="BF81" i="15"/>
  <c r="BF80" i="15"/>
  <c r="BF78" i="15"/>
  <c r="BF77" i="15"/>
  <c r="BF76" i="15"/>
  <c r="BF73" i="15"/>
  <c r="BF72" i="15"/>
  <c r="BF71" i="15"/>
  <c r="BF69" i="15"/>
  <c r="BF68" i="15"/>
  <c r="BF67" i="15"/>
  <c r="BF65" i="15"/>
  <c r="BF64" i="15"/>
  <c r="BF63" i="15"/>
  <c r="AK7" i="15"/>
  <c r="BF7" i="15" s="1"/>
  <c r="AK8" i="15"/>
  <c r="BF8" i="15" s="1"/>
  <c r="AK9" i="15"/>
  <c r="BF9" i="15" s="1"/>
  <c r="AK10" i="15"/>
  <c r="BF10" i="15" s="1"/>
  <c r="AK11" i="15"/>
  <c r="BF11" i="15" s="1"/>
  <c r="AK12" i="15"/>
  <c r="BF12" i="15" s="1"/>
  <c r="AK13" i="15"/>
  <c r="BF13" i="15" s="1"/>
  <c r="AK14" i="15"/>
  <c r="BF14" i="15" s="1"/>
  <c r="AK15" i="15"/>
  <c r="BF15" i="15" s="1"/>
  <c r="AK16" i="15"/>
  <c r="BF16" i="15" s="1"/>
  <c r="AK17" i="15"/>
  <c r="BF17" i="15" s="1"/>
  <c r="AK18" i="15"/>
  <c r="BF18" i="15" s="1"/>
  <c r="AK19" i="15"/>
  <c r="BF19" i="15" s="1"/>
  <c r="AK20" i="15"/>
  <c r="BF20" i="15" s="1"/>
  <c r="AK21" i="15"/>
  <c r="BF21" i="15" s="1"/>
  <c r="AK22" i="15"/>
  <c r="BF22" i="15" s="1"/>
  <c r="AK23" i="15"/>
  <c r="BF23" i="15" s="1"/>
  <c r="AK24" i="15"/>
  <c r="BF24" i="15" s="1"/>
  <c r="AK25" i="15"/>
  <c r="BF25" i="15" s="1"/>
  <c r="AK26" i="15"/>
  <c r="BF26" i="15" s="1"/>
  <c r="AK27" i="15"/>
  <c r="BF27" i="15" s="1"/>
  <c r="AK28" i="15"/>
  <c r="BF28" i="15" s="1"/>
  <c r="AK29" i="15"/>
  <c r="BF29" i="15" s="1"/>
  <c r="AK6" i="15"/>
  <c r="BF6" i="15" s="1"/>
  <c r="F102" i="15" l="1"/>
  <c r="L102" i="15"/>
  <c r="I102" i="15"/>
  <c r="AC102" i="15"/>
  <c r="P153" i="15"/>
  <c r="Q137" i="15"/>
  <c r="T111" i="15"/>
  <c r="AU111" i="15"/>
  <c r="L111" i="15"/>
  <c r="AO111" i="15"/>
  <c r="W111" i="15"/>
  <c r="F111" i="15"/>
  <c r="AC111" i="15"/>
  <c r="H111" i="15"/>
  <c r="AI111" i="15"/>
  <c r="Z124" i="15"/>
  <c r="BD124" i="15" s="1"/>
  <c r="AD124" i="15"/>
  <c r="AS133" i="15"/>
  <c r="Z133" i="15"/>
  <c r="BD133" i="15" s="1"/>
  <c r="J104" i="15"/>
  <c r="L101" i="15"/>
  <c r="K101" i="15"/>
  <c r="AR102" i="15"/>
  <c r="N112" i="15"/>
  <c r="BA112" i="15" s="1"/>
  <c r="AZ112" i="15"/>
  <c r="I101" i="15"/>
  <c r="E101" i="15"/>
  <c r="K102" i="15"/>
  <c r="T102" i="15"/>
  <c r="AI102" i="15"/>
  <c r="Q111" i="15"/>
  <c r="Y137" i="15"/>
  <c r="W133" i="15"/>
  <c r="U133" i="15"/>
  <c r="E133" i="15"/>
  <c r="AF133" i="15"/>
  <c r="K133" i="15"/>
  <c r="O133" i="15"/>
  <c r="BB133" i="15" s="1"/>
  <c r="AR133" i="15"/>
  <c r="AE154" i="15"/>
  <c r="AE155" i="15"/>
  <c r="E102" i="15"/>
  <c r="Q102" i="15"/>
  <c r="AT104" i="15"/>
  <c r="AU101" i="15"/>
  <c r="W102" i="15"/>
  <c r="AH104" i="15"/>
  <c r="AH149" i="15" s="1"/>
  <c r="AH151" i="15" s="1"/>
  <c r="AI101" i="15"/>
  <c r="Q101" i="15"/>
  <c r="T101" i="15"/>
  <c r="R115" i="15"/>
  <c r="AM115" i="15"/>
  <c r="BH115" i="15" s="1"/>
  <c r="BI115" i="15"/>
  <c r="AX115" i="15"/>
  <c r="BJ115" i="15" s="1"/>
  <c r="BI117" i="15"/>
  <c r="AX117" i="15"/>
  <c r="BJ117" i="15" s="1"/>
  <c r="J153" i="15"/>
  <c r="BF113" i="15"/>
  <c r="AK137" i="15"/>
  <c r="AV137" i="15" s="1"/>
  <c r="AM117" i="15"/>
  <c r="BH117" i="15" s="1"/>
  <c r="BF117" i="15"/>
  <c r="BI125" i="15"/>
  <c r="AX125" i="15"/>
  <c r="BJ125" i="15" s="1"/>
  <c r="AZ128" i="15"/>
  <c r="X135" i="15"/>
  <c r="AZ135" i="15"/>
  <c r="O135" i="15"/>
  <c r="BB135" i="15" s="1"/>
  <c r="AF102" i="15"/>
  <c r="AG137" i="15"/>
  <c r="T113" i="15"/>
  <c r="AO113" i="15"/>
  <c r="W113" i="15"/>
  <c r="H113" i="15"/>
  <c r="AU113" i="15"/>
  <c r="AZ120" i="15"/>
  <c r="O124" i="15"/>
  <c r="BB124" i="15" s="1"/>
  <c r="D153" i="15"/>
  <c r="AB155" i="15"/>
  <c r="AB154" i="15"/>
  <c r="BF158" i="15"/>
  <c r="AZ158" i="15"/>
  <c r="BL158" i="15" s="1"/>
  <c r="BM158" i="15" s="1"/>
  <c r="BC158" i="15"/>
  <c r="B104" i="15"/>
  <c r="D104" i="15"/>
  <c r="F101" i="15"/>
  <c r="AO102" i="15"/>
  <c r="AC101" i="15"/>
  <c r="AO101" i="15"/>
  <c r="M137" i="15"/>
  <c r="AX111" i="15"/>
  <c r="BJ111" i="15" s="1"/>
  <c r="F113" i="15"/>
  <c r="AV113" i="15"/>
  <c r="BC113" i="15"/>
  <c r="T114" i="15"/>
  <c r="E114" i="15"/>
  <c r="AZ114" i="15"/>
  <c r="L115" i="15"/>
  <c r="AV115" i="15"/>
  <c r="BC115" i="15"/>
  <c r="AA115" i="15"/>
  <c r="BE115" i="15" s="1"/>
  <c r="N116" i="15"/>
  <c r="BA116" i="15" s="1"/>
  <c r="L117" i="15"/>
  <c r="AV117" i="15"/>
  <c r="BC117" i="15"/>
  <c r="AA117" i="15"/>
  <c r="BE117" i="15" s="1"/>
  <c r="AV121" i="15"/>
  <c r="N122" i="15"/>
  <c r="BA122" i="15" s="1"/>
  <c r="AX123" i="15"/>
  <c r="BJ123" i="15" s="1"/>
  <c r="I124" i="15"/>
  <c r="T124" i="15"/>
  <c r="T127" i="15"/>
  <c r="AU127" i="15"/>
  <c r="L127" i="15"/>
  <c r="Q127" i="15"/>
  <c r="AI127" i="15"/>
  <c r="AV129" i="15"/>
  <c r="T130" i="15"/>
  <c r="O130" i="15"/>
  <c r="BB130" i="15" s="1"/>
  <c r="E130" i="15"/>
  <c r="Z130" i="15"/>
  <c r="BD130" i="15" s="1"/>
  <c r="K132" i="15"/>
  <c r="E132" i="15"/>
  <c r="AD132" i="15"/>
  <c r="AZ132" i="15"/>
  <c r="K134" i="15"/>
  <c r="U135" i="15"/>
  <c r="AQ155" i="15"/>
  <c r="AW137" i="15"/>
  <c r="V155" i="15"/>
  <c r="V154" i="15"/>
  <c r="AQ154" i="15"/>
  <c r="BF159" i="15"/>
  <c r="BC159" i="15"/>
  <c r="BF133" i="15"/>
  <c r="AL133" i="15"/>
  <c r="BG133" i="15" s="1"/>
  <c r="V104" i="15"/>
  <c r="V149" i="15" s="1"/>
  <c r="AE104" i="15"/>
  <c r="AQ104" i="15"/>
  <c r="AU102" i="15"/>
  <c r="W101" i="15"/>
  <c r="AF101" i="15"/>
  <c r="AR101" i="15"/>
  <c r="G153" i="15"/>
  <c r="AI113" i="15"/>
  <c r="T115" i="15"/>
  <c r="AO115" i="15"/>
  <c r="Q115" i="15"/>
  <c r="F115" i="15"/>
  <c r="AI115" i="15"/>
  <c r="AD116" i="15"/>
  <c r="T117" i="15"/>
  <c r="AO117" i="15"/>
  <c r="Q117" i="15"/>
  <c r="F117" i="15"/>
  <c r="AI117" i="15"/>
  <c r="N124" i="15"/>
  <c r="BA124" i="15" s="1"/>
  <c r="AP132" i="15"/>
  <c r="T134" i="15"/>
  <c r="AR134" i="15"/>
  <c r="AC134" i="15"/>
  <c r="Q134" i="15"/>
  <c r="H134" i="15"/>
  <c r="AI134" i="15"/>
  <c r="L134" i="15"/>
  <c r="E134" i="15"/>
  <c r="W134" i="15"/>
  <c r="AO134" i="15"/>
  <c r="AH153" i="15"/>
  <c r="AI137" i="15"/>
  <c r="S154" i="15"/>
  <c r="AS119" i="15"/>
  <c r="AC119" i="15"/>
  <c r="Z120" i="15"/>
  <c r="BD120" i="15" s="1"/>
  <c r="AC121" i="15"/>
  <c r="AO123" i="15"/>
  <c r="AV125" i="15"/>
  <c r="AM129" i="15"/>
  <c r="BH129" i="15" s="1"/>
  <c r="AC129" i="15"/>
  <c r="AO131" i="15"/>
  <c r="X133" i="15"/>
  <c r="AX133" i="15"/>
  <c r="BJ133" i="15" s="1"/>
  <c r="AV134" i="15"/>
  <c r="AF135" i="15"/>
  <c r="AO137" i="15"/>
  <c r="U137" i="15"/>
  <c r="H159" i="15"/>
  <c r="W159" i="15"/>
  <c r="AT155" i="15"/>
  <c r="AZ159" i="15"/>
  <c r="BI159" i="15"/>
  <c r="B63" i="17"/>
  <c r="AS135" i="15"/>
  <c r="C137" i="15"/>
  <c r="AU137" i="15"/>
  <c r="AO159" i="15"/>
  <c r="AF159" i="15"/>
  <c r="L159" i="15"/>
  <c r="I159" i="15"/>
  <c r="F159" i="15"/>
  <c r="T159" i="15"/>
  <c r="AL158" i="15"/>
  <c r="BG158" i="15" s="1"/>
  <c r="AS158" i="15"/>
  <c r="AY132" i="15"/>
  <c r="T158" i="15"/>
  <c r="AC158" i="15"/>
  <c r="V145" i="15"/>
  <c r="V146" i="15" s="1"/>
  <c r="AH145" i="15"/>
  <c r="AH146" i="15" s="1"/>
  <c r="AL130" i="15"/>
  <c r="BG130" i="15" s="1"/>
  <c r="AL134" i="15"/>
  <c r="BG134" i="15" s="1"/>
  <c r="B347" i="16"/>
  <c r="B16" i="17"/>
  <c r="B306" i="16"/>
  <c r="B94" i="17" s="1"/>
  <c r="B11" i="17"/>
  <c r="B14" i="17"/>
  <c r="B374" i="16"/>
  <c r="B375" i="16" s="1"/>
  <c r="B101" i="17" s="1"/>
  <c r="B243" i="16"/>
  <c r="B258" i="16"/>
  <c r="B382" i="16"/>
  <c r="B391" i="16" s="1"/>
  <c r="B102" i="17" s="1"/>
  <c r="B198" i="16"/>
  <c r="B247" i="16" s="1"/>
  <c r="B248" i="16" s="1"/>
  <c r="B444" i="16" s="1"/>
  <c r="B122" i="16"/>
  <c r="B66" i="17" s="1"/>
  <c r="B540" i="16"/>
  <c r="B541" i="16" s="1"/>
  <c r="B340" i="16"/>
  <c r="B24" i="16"/>
  <c r="B565" i="16" s="1"/>
  <c r="B574" i="16" s="1"/>
  <c r="B157" i="17" s="1"/>
  <c r="B176" i="16"/>
  <c r="B239" i="16" s="1"/>
  <c r="B344" i="16"/>
  <c r="B463" i="16"/>
  <c r="B465" i="16" s="1"/>
  <c r="B531" i="16"/>
  <c r="B532" i="16" s="1"/>
  <c r="B23" i="16"/>
  <c r="B564" i="16" s="1"/>
  <c r="B573" i="16" s="1"/>
  <c r="B156" i="17" s="1"/>
  <c r="B237" i="16"/>
  <c r="B219" i="16"/>
  <c r="B256" i="16" s="1"/>
  <c r="B257" i="16" s="1"/>
  <c r="B328" i="16"/>
  <c r="B97" i="17" s="1"/>
  <c r="B404" i="16"/>
  <c r="B105" i="17" s="1"/>
  <c r="B436" i="16"/>
  <c r="B438" i="16" s="1"/>
  <c r="B155" i="16"/>
  <c r="B233" i="16" s="1"/>
  <c r="B423" i="16"/>
  <c r="B425" i="16" s="1"/>
  <c r="B490" i="16"/>
  <c r="B492" i="16" s="1"/>
  <c r="B249" i="16"/>
  <c r="B450" i="16"/>
  <c r="B452" i="16" s="1"/>
  <c r="B588" i="16"/>
  <c r="B21" i="16"/>
  <c r="B562" i="16" s="1"/>
  <c r="B22" i="16"/>
  <c r="B563" i="16" s="1"/>
  <c r="B572" i="16" s="1"/>
  <c r="B155" i="17" s="1"/>
  <c r="B121" i="16"/>
  <c r="B65" i="17" s="1"/>
  <c r="B296" i="16"/>
  <c r="B298" i="16" s="1"/>
  <c r="B408" i="16"/>
  <c r="B106" i="17" s="1"/>
  <c r="B591" i="16"/>
  <c r="B123" i="16"/>
  <c r="B67" i="17" s="1"/>
  <c r="B285" i="16"/>
  <c r="B495" i="16" s="1"/>
  <c r="B497" i="16" s="1"/>
  <c r="B54" i="17"/>
  <c r="B201" i="17" s="1"/>
  <c r="I11" i="12"/>
  <c r="F11" i="12"/>
  <c r="H11" i="12"/>
  <c r="F9" i="12"/>
  <c r="H9" i="12"/>
  <c r="I9" i="12"/>
  <c r="E9" i="12"/>
  <c r="E11" i="12"/>
  <c r="AY137" i="15"/>
  <c r="BK137" i="15" s="1"/>
  <c r="AP116" i="15"/>
  <c r="AL132" i="15"/>
  <c r="BG132" i="15" s="1"/>
  <c r="BF132" i="15"/>
  <c r="AL116" i="15"/>
  <c r="BG116" i="15" s="1"/>
  <c r="AV123" i="15"/>
  <c r="AP124" i="15"/>
  <c r="AS111" i="15"/>
  <c r="AP114" i="15"/>
  <c r="AL124" i="15"/>
  <c r="BG124" i="15" s="1"/>
  <c r="AV131" i="15"/>
  <c r="BL134" i="15"/>
  <c r="BM134" i="15" s="1"/>
  <c r="AH105" i="15"/>
  <c r="AH150" i="15"/>
  <c r="V107" i="15"/>
  <c r="V140" i="15" s="1"/>
  <c r="AK95" i="15"/>
  <c r="BF95" i="15" s="1"/>
  <c r="BF101" i="15" s="1"/>
  <c r="BF75" i="15"/>
  <c r="BF102" i="15" s="1"/>
  <c r="AK102" i="15"/>
  <c r="R159" i="15"/>
  <c r="AV159" i="15"/>
  <c r="AL159" i="15"/>
  <c r="BG159" i="15" s="1"/>
  <c r="U159" i="15"/>
  <c r="AM159" i="15"/>
  <c r="BH159" i="15" s="1"/>
  <c r="N159" i="15"/>
  <c r="BA159" i="15" s="1"/>
  <c r="X159" i="15"/>
  <c r="AY159" i="15"/>
  <c r="BK159" i="15" s="1"/>
  <c r="AG159" i="15"/>
  <c r="O159" i="15"/>
  <c r="BB159" i="15" s="1"/>
  <c r="AA159" i="15"/>
  <c r="BE159" i="15" s="1"/>
  <c r="AD159" i="15"/>
  <c r="AS159" i="15"/>
  <c r="AX159" i="15"/>
  <c r="BJ159" i="15" s="1"/>
  <c r="AX158" i="15"/>
  <c r="BJ158" i="15" s="1"/>
  <c r="AM158" i="15"/>
  <c r="BH158" i="15" s="1"/>
  <c r="AV158" i="15"/>
  <c r="AP158" i="15"/>
  <c r="AJ158" i="15"/>
  <c r="O158" i="15"/>
  <c r="BB158" i="15" s="1"/>
  <c r="R158" i="15"/>
  <c r="U158" i="15"/>
  <c r="X158" i="15"/>
  <c r="AD158" i="15"/>
  <c r="AG158" i="15"/>
  <c r="AY158" i="15"/>
  <c r="BK158" i="15" s="1"/>
  <c r="AP159" i="15"/>
  <c r="N158" i="15"/>
  <c r="BA158" i="15" s="1"/>
  <c r="AA158" i="15"/>
  <c r="BE158" i="15" s="1"/>
  <c r="AH147" i="15"/>
  <c r="L137" i="15"/>
  <c r="BI133" i="15"/>
  <c r="R134" i="15"/>
  <c r="X134" i="15"/>
  <c r="AY134" i="15"/>
  <c r="BK134" i="15" s="1"/>
  <c r="BI135" i="15"/>
  <c r="I133" i="15"/>
  <c r="N133" i="15"/>
  <c r="BA133" i="15" s="1"/>
  <c r="T133" i="15"/>
  <c r="AD133" i="15"/>
  <c r="AJ133" i="15"/>
  <c r="AP133" i="15"/>
  <c r="AV133" i="15"/>
  <c r="AA134" i="15"/>
  <c r="BE134" i="15" s="1"/>
  <c r="AG134" i="15"/>
  <c r="AM134" i="15"/>
  <c r="BH134" i="15" s="1"/>
  <c r="AS134" i="15"/>
  <c r="I135" i="15"/>
  <c r="N135" i="15"/>
  <c r="BA135" i="15" s="1"/>
  <c r="T135" i="15"/>
  <c r="AD135" i="15"/>
  <c r="AJ135" i="15"/>
  <c r="AP135" i="15"/>
  <c r="AV135" i="15"/>
  <c r="H133" i="15"/>
  <c r="R133" i="15"/>
  <c r="AC133" i="15"/>
  <c r="AI133" i="15"/>
  <c r="AO133" i="15"/>
  <c r="AU133" i="15"/>
  <c r="AY133" i="15"/>
  <c r="BK133" i="15" s="1"/>
  <c r="BC133" i="15"/>
  <c r="BL133" i="15" s="1"/>
  <c r="BM133" i="15" s="1"/>
  <c r="O134" i="15"/>
  <c r="BB134" i="15" s="1"/>
  <c r="U134" i="15"/>
  <c r="H135" i="15"/>
  <c r="R135" i="15"/>
  <c r="AC135" i="15"/>
  <c r="AI135" i="15"/>
  <c r="AO135" i="15"/>
  <c r="AU135" i="15"/>
  <c r="AY135" i="15"/>
  <c r="BK135" i="15" s="1"/>
  <c r="BC135" i="15"/>
  <c r="BL135" i="15" s="1"/>
  <c r="BM135" i="15" s="1"/>
  <c r="F133" i="15"/>
  <c r="L133" i="15"/>
  <c r="Q133" i="15"/>
  <c r="AA133" i="15"/>
  <c r="BE133" i="15" s="1"/>
  <c r="AG133" i="15"/>
  <c r="AM133" i="15"/>
  <c r="BH133" i="15" s="1"/>
  <c r="I134" i="15"/>
  <c r="N134" i="15"/>
  <c r="BA134" i="15" s="1"/>
  <c r="AD134" i="15"/>
  <c r="AJ134" i="15"/>
  <c r="AP134" i="15"/>
  <c r="F135" i="15"/>
  <c r="L135" i="15"/>
  <c r="Q135" i="15"/>
  <c r="AA135" i="15"/>
  <c r="BE135" i="15" s="1"/>
  <c r="AG135" i="15"/>
  <c r="AM135" i="15"/>
  <c r="BH135" i="15" s="1"/>
  <c r="BL118" i="15"/>
  <c r="BM118" i="15" s="1"/>
  <c r="AS112" i="15"/>
  <c r="AM112" i="15"/>
  <c r="BH112" i="15" s="1"/>
  <c r="AG112" i="15"/>
  <c r="AA112" i="15"/>
  <c r="BE112" i="15" s="1"/>
  <c r="BC112" i="15"/>
  <c r="BL112" i="15" s="1"/>
  <c r="BM112" i="15" s="1"/>
  <c r="W118" i="15"/>
  <c r="Q118" i="15"/>
  <c r="L118" i="15"/>
  <c r="F118" i="15"/>
  <c r="AU118" i="15"/>
  <c r="AO118" i="15"/>
  <c r="AI118" i="15"/>
  <c r="AC118" i="15"/>
  <c r="H118" i="15"/>
  <c r="AS128" i="15"/>
  <c r="AM128" i="15"/>
  <c r="BH128" i="15" s="1"/>
  <c r="AG128" i="15"/>
  <c r="AA128" i="15"/>
  <c r="BE128" i="15" s="1"/>
  <c r="BC128" i="15"/>
  <c r="W112" i="15"/>
  <c r="Q112" i="15"/>
  <c r="L112" i="15"/>
  <c r="F112" i="15"/>
  <c r="AU112" i="15"/>
  <c r="AO112" i="15"/>
  <c r="AI112" i="15"/>
  <c r="AC112" i="15"/>
  <c r="H112" i="15"/>
  <c r="AZ113" i="15"/>
  <c r="BL113" i="15" s="1"/>
  <c r="BM113" i="15" s="1"/>
  <c r="N113" i="15"/>
  <c r="BA113" i="15" s="1"/>
  <c r="U113" i="15"/>
  <c r="O113" i="15"/>
  <c r="BB113" i="15" s="1"/>
  <c r="AX116" i="15"/>
  <c r="BJ116" i="15" s="1"/>
  <c r="AY116" i="15"/>
  <c r="BK116" i="15" s="1"/>
  <c r="AZ121" i="15"/>
  <c r="BL121" i="15" s="1"/>
  <c r="BM121" i="15" s="1"/>
  <c r="N121" i="15"/>
  <c r="BA121" i="15" s="1"/>
  <c r="U121" i="15"/>
  <c r="O121" i="15"/>
  <c r="BB121" i="15" s="1"/>
  <c r="AS122" i="15"/>
  <c r="AM122" i="15"/>
  <c r="BH122" i="15" s="1"/>
  <c r="AG122" i="15"/>
  <c r="AA122" i="15"/>
  <c r="BE122" i="15" s="1"/>
  <c r="BC122" i="15"/>
  <c r="AX124" i="15"/>
  <c r="BJ124" i="15" s="1"/>
  <c r="AY124" i="15"/>
  <c r="BK124" i="15" s="1"/>
  <c r="W128" i="15"/>
  <c r="Q128" i="15"/>
  <c r="L128" i="15"/>
  <c r="F128" i="15"/>
  <c r="AU128" i="15"/>
  <c r="AO128" i="15"/>
  <c r="AI128" i="15"/>
  <c r="AC128" i="15"/>
  <c r="H128" i="15"/>
  <c r="AS130" i="15"/>
  <c r="AM130" i="15"/>
  <c r="BH130" i="15" s="1"/>
  <c r="AG130" i="15"/>
  <c r="AA130" i="15"/>
  <c r="BE130" i="15" s="1"/>
  <c r="BC130" i="15"/>
  <c r="BL130" i="15" s="1"/>
  <c r="BM130" i="15" s="1"/>
  <c r="AX112" i="15"/>
  <c r="BJ112" i="15" s="1"/>
  <c r="AY112" i="15"/>
  <c r="BK112" i="15" s="1"/>
  <c r="W116" i="15"/>
  <c r="Q116" i="15"/>
  <c r="L116" i="15"/>
  <c r="F116" i="15"/>
  <c r="AU116" i="15"/>
  <c r="AO116" i="15"/>
  <c r="AI116" i="15"/>
  <c r="AC116" i="15"/>
  <c r="H116" i="15"/>
  <c r="AZ117" i="15"/>
  <c r="BL117" i="15" s="1"/>
  <c r="BM117" i="15" s="1"/>
  <c r="N117" i="15"/>
  <c r="BA117" i="15" s="1"/>
  <c r="U117" i="15"/>
  <c r="O117" i="15"/>
  <c r="BB117" i="15" s="1"/>
  <c r="AS118" i="15"/>
  <c r="AM118" i="15"/>
  <c r="BH118" i="15" s="1"/>
  <c r="AG118" i="15"/>
  <c r="AA118" i="15"/>
  <c r="BE118" i="15" s="1"/>
  <c r="BC118" i="15"/>
  <c r="AX120" i="15"/>
  <c r="BJ120" i="15" s="1"/>
  <c r="AY120" i="15"/>
  <c r="BK120" i="15" s="1"/>
  <c r="W124" i="15"/>
  <c r="Q124" i="15"/>
  <c r="L124" i="15"/>
  <c r="F124" i="15"/>
  <c r="AU124" i="15"/>
  <c r="AO124" i="15"/>
  <c r="AI124" i="15"/>
  <c r="AC124" i="15"/>
  <c r="H124" i="15"/>
  <c r="AZ125" i="15"/>
  <c r="BL125" i="15" s="1"/>
  <c r="BM125" i="15" s="1"/>
  <c r="N125" i="15"/>
  <c r="BA125" i="15" s="1"/>
  <c r="U125" i="15"/>
  <c r="O125" i="15"/>
  <c r="BB125" i="15" s="1"/>
  <c r="AS126" i="15"/>
  <c r="AM126" i="15"/>
  <c r="BH126" i="15" s="1"/>
  <c r="AG126" i="15"/>
  <c r="AA126" i="15"/>
  <c r="BE126" i="15" s="1"/>
  <c r="BC126" i="15"/>
  <c r="BL126" i="15" s="1"/>
  <c r="BM126" i="15" s="1"/>
  <c r="AX128" i="15"/>
  <c r="BJ128" i="15" s="1"/>
  <c r="AY128" i="15"/>
  <c r="BK128" i="15" s="1"/>
  <c r="W132" i="15"/>
  <c r="Q132" i="15"/>
  <c r="L132" i="15"/>
  <c r="F132" i="15"/>
  <c r="AU132" i="15"/>
  <c r="AO132" i="15"/>
  <c r="AI132" i="15"/>
  <c r="AC132" i="15"/>
  <c r="H132" i="15"/>
  <c r="X111" i="15"/>
  <c r="AV112" i="15"/>
  <c r="U118" i="15"/>
  <c r="AR118" i="15"/>
  <c r="X119" i="15"/>
  <c r="AJ120" i="15"/>
  <c r="X126" i="15"/>
  <c r="AF126" i="15"/>
  <c r="X127" i="15"/>
  <c r="AJ128" i="15"/>
  <c r="X112" i="15"/>
  <c r="AF112" i="15"/>
  <c r="AR112" i="15"/>
  <c r="AG113" i="15"/>
  <c r="AY113" i="15"/>
  <c r="BK113" i="15" s="1"/>
  <c r="AJ114" i="15"/>
  <c r="AD118" i="15"/>
  <c r="X120" i="15"/>
  <c r="AF120" i="15"/>
  <c r="AR120" i="15"/>
  <c r="AG121" i="15"/>
  <c r="AY121" i="15"/>
  <c r="BK121" i="15" s="1"/>
  <c r="AV122" i="15"/>
  <c r="AD126" i="15"/>
  <c r="U128" i="15"/>
  <c r="AR128" i="15"/>
  <c r="X129" i="15"/>
  <c r="AS129" i="15"/>
  <c r="AV130" i="15"/>
  <c r="AV111" i="15"/>
  <c r="I112" i="15"/>
  <c r="O112" i="15"/>
  <c r="BB112" i="15" s="1"/>
  <c r="Z112" i="15"/>
  <c r="BD112" i="15" s="1"/>
  <c r="AL112" i="15"/>
  <c r="BG112" i="15" s="1"/>
  <c r="R113" i="15"/>
  <c r="AA113" i="15"/>
  <c r="BE113" i="15" s="1"/>
  <c r="AM113" i="15"/>
  <c r="BH113" i="15" s="1"/>
  <c r="K114" i="15"/>
  <c r="AD114" i="15"/>
  <c r="X116" i="15"/>
  <c r="U116" i="15"/>
  <c r="AF116" i="15"/>
  <c r="AR116" i="15"/>
  <c r="X117" i="15"/>
  <c r="AG117" i="15"/>
  <c r="AS117" i="15"/>
  <c r="AY117" i="15"/>
  <c r="BK117" i="15" s="1"/>
  <c r="E118" i="15"/>
  <c r="N118" i="15"/>
  <c r="BA118" i="15" s="1"/>
  <c r="AJ118" i="15"/>
  <c r="AV118" i="15"/>
  <c r="AV119" i="15"/>
  <c r="I120" i="15"/>
  <c r="O120" i="15"/>
  <c r="BB120" i="15" s="1"/>
  <c r="R121" i="15"/>
  <c r="AA121" i="15"/>
  <c r="BE121" i="15" s="1"/>
  <c r="AM121" i="15"/>
  <c r="BH121" i="15" s="1"/>
  <c r="K122" i="15"/>
  <c r="AD122" i="15"/>
  <c r="AP122" i="15"/>
  <c r="X124" i="15"/>
  <c r="U124" i="15"/>
  <c r="AF124" i="15"/>
  <c r="AR124" i="15"/>
  <c r="X125" i="15"/>
  <c r="AG125" i="15"/>
  <c r="AS125" i="15"/>
  <c r="AY125" i="15"/>
  <c r="BK125" i="15" s="1"/>
  <c r="E126" i="15"/>
  <c r="AJ126" i="15"/>
  <c r="AV126" i="15"/>
  <c r="AV127" i="15"/>
  <c r="I128" i="15"/>
  <c r="O128" i="15"/>
  <c r="BB128" i="15" s="1"/>
  <c r="Z128" i="15"/>
  <c r="BD128" i="15" s="1"/>
  <c r="AL128" i="15"/>
  <c r="BG128" i="15" s="1"/>
  <c r="R129" i="15"/>
  <c r="AA129" i="15"/>
  <c r="BE129" i="15" s="1"/>
  <c r="K130" i="15"/>
  <c r="AD130" i="15"/>
  <c r="AP130" i="15"/>
  <c r="X132" i="15"/>
  <c r="U132" i="15"/>
  <c r="AF132" i="15"/>
  <c r="AR132" i="15"/>
  <c r="AZ111" i="15"/>
  <c r="N111" i="15"/>
  <c r="BA111" i="15" s="1"/>
  <c r="U111" i="15"/>
  <c r="O111" i="15"/>
  <c r="BB111" i="15" s="1"/>
  <c r="AX114" i="15"/>
  <c r="BJ114" i="15" s="1"/>
  <c r="AY114" i="15"/>
  <c r="BK114" i="15" s="1"/>
  <c r="AZ119" i="15"/>
  <c r="BL119" i="15" s="1"/>
  <c r="BM119" i="15" s="1"/>
  <c r="N119" i="15"/>
  <c r="BA119" i="15" s="1"/>
  <c r="U119" i="15"/>
  <c r="O119" i="15"/>
  <c r="BB119" i="15" s="1"/>
  <c r="AS120" i="15"/>
  <c r="AM120" i="15"/>
  <c r="BH120" i="15" s="1"/>
  <c r="AG120" i="15"/>
  <c r="AA120" i="15"/>
  <c r="BE120" i="15" s="1"/>
  <c r="BC120" i="15"/>
  <c r="BL120" i="15" s="1"/>
  <c r="BM120" i="15" s="1"/>
  <c r="AX122" i="15"/>
  <c r="BJ122" i="15" s="1"/>
  <c r="AY122" i="15"/>
  <c r="BK122" i="15" s="1"/>
  <c r="W126" i="15"/>
  <c r="Q126" i="15"/>
  <c r="L126" i="15"/>
  <c r="F126" i="15"/>
  <c r="AU126" i="15"/>
  <c r="AO126" i="15"/>
  <c r="AI126" i="15"/>
  <c r="AC126" i="15"/>
  <c r="H126" i="15"/>
  <c r="AZ127" i="15"/>
  <c r="BL127" i="15" s="1"/>
  <c r="BM127" i="15" s="1"/>
  <c r="N127" i="15"/>
  <c r="BA127" i="15" s="1"/>
  <c r="U127" i="15"/>
  <c r="O127" i="15"/>
  <c r="BB127" i="15" s="1"/>
  <c r="AX130" i="15"/>
  <c r="BJ130" i="15" s="1"/>
  <c r="AY130" i="15"/>
  <c r="BK130" i="15" s="1"/>
  <c r="AS114" i="15"/>
  <c r="AM114" i="15"/>
  <c r="BH114" i="15" s="1"/>
  <c r="AG114" i="15"/>
  <c r="AA114" i="15"/>
  <c r="BE114" i="15" s="1"/>
  <c r="BC114" i="15"/>
  <c r="W120" i="15"/>
  <c r="Q120" i="15"/>
  <c r="L120" i="15"/>
  <c r="F120" i="15"/>
  <c r="AU120" i="15"/>
  <c r="AO120" i="15"/>
  <c r="AI120" i="15"/>
  <c r="AC120" i="15"/>
  <c r="H120" i="15"/>
  <c r="AZ129" i="15"/>
  <c r="BL129" i="15" s="1"/>
  <c r="BM129" i="15" s="1"/>
  <c r="N129" i="15"/>
  <c r="BA129" i="15" s="1"/>
  <c r="U129" i="15"/>
  <c r="O129" i="15"/>
  <c r="BB129" i="15" s="1"/>
  <c r="W114" i="15"/>
  <c r="Q114" i="15"/>
  <c r="L114" i="15"/>
  <c r="F114" i="15"/>
  <c r="AU114" i="15"/>
  <c r="AO114" i="15"/>
  <c r="AI114" i="15"/>
  <c r="AC114" i="15"/>
  <c r="H114" i="15"/>
  <c r="AZ115" i="15"/>
  <c r="BL115" i="15" s="1"/>
  <c r="BM115" i="15" s="1"/>
  <c r="N115" i="15"/>
  <c r="BA115" i="15" s="1"/>
  <c r="U115" i="15"/>
  <c r="O115" i="15"/>
  <c r="BB115" i="15" s="1"/>
  <c r="AS116" i="15"/>
  <c r="AM116" i="15"/>
  <c r="BH116" i="15" s="1"/>
  <c r="AG116" i="15"/>
  <c r="AA116" i="15"/>
  <c r="BE116" i="15" s="1"/>
  <c r="BC116" i="15"/>
  <c r="BL116" i="15" s="1"/>
  <c r="BM116" i="15" s="1"/>
  <c r="AX118" i="15"/>
  <c r="BJ118" i="15" s="1"/>
  <c r="AY118" i="15"/>
  <c r="BK118" i="15" s="1"/>
  <c r="W122" i="15"/>
  <c r="Q122" i="15"/>
  <c r="L122" i="15"/>
  <c r="F122" i="15"/>
  <c r="AU122" i="15"/>
  <c r="AO122" i="15"/>
  <c r="AI122" i="15"/>
  <c r="AC122" i="15"/>
  <c r="H122" i="15"/>
  <c r="AZ123" i="15"/>
  <c r="BL123" i="15" s="1"/>
  <c r="BM123" i="15" s="1"/>
  <c r="N123" i="15"/>
  <c r="BA123" i="15" s="1"/>
  <c r="U123" i="15"/>
  <c r="O123" i="15"/>
  <c r="BB123" i="15" s="1"/>
  <c r="AS124" i="15"/>
  <c r="AM124" i="15"/>
  <c r="BH124" i="15" s="1"/>
  <c r="AG124" i="15"/>
  <c r="AA124" i="15"/>
  <c r="BE124" i="15" s="1"/>
  <c r="BC124" i="15"/>
  <c r="BL124" i="15" s="1"/>
  <c r="BM124" i="15" s="1"/>
  <c r="AX126" i="15"/>
  <c r="BJ126" i="15" s="1"/>
  <c r="AY126" i="15"/>
  <c r="BK126" i="15" s="1"/>
  <c r="W130" i="15"/>
  <c r="Q130" i="15"/>
  <c r="L130" i="15"/>
  <c r="F130" i="15"/>
  <c r="AU130" i="15"/>
  <c r="AO130" i="15"/>
  <c r="AI130" i="15"/>
  <c r="AC130" i="15"/>
  <c r="H130" i="15"/>
  <c r="AZ131" i="15"/>
  <c r="BL131" i="15" s="1"/>
  <c r="BM131" i="15" s="1"/>
  <c r="N131" i="15"/>
  <c r="BA131" i="15" s="1"/>
  <c r="U131" i="15"/>
  <c r="O131" i="15"/>
  <c r="BB131" i="15" s="1"/>
  <c r="AS132" i="15"/>
  <c r="AM132" i="15"/>
  <c r="BH132" i="15" s="1"/>
  <c r="AG132" i="15"/>
  <c r="AA132" i="15"/>
  <c r="BE132" i="15" s="1"/>
  <c r="BC132" i="15"/>
  <c r="BL132" i="15" s="1"/>
  <c r="BM132" i="15" s="1"/>
  <c r="AV132" i="15"/>
  <c r="BJ132" i="15"/>
  <c r="BK132" i="15"/>
  <c r="AG111" i="15"/>
  <c r="AY111" i="15"/>
  <c r="BK111" i="15" s="1"/>
  <c r="AJ112" i="15"/>
  <c r="X118" i="15"/>
  <c r="AF118" i="15"/>
  <c r="AG119" i="15"/>
  <c r="AY119" i="15"/>
  <c r="BK119" i="15" s="1"/>
  <c r="AV120" i="15"/>
  <c r="U126" i="15"/>
  <c r="AR126" i="15"/>
  <c r="AG127" i="15"/>
  <c r="AY127" i="15"/>
  <c r="BK127" i="15" s="1"/>
  <c r="AV128" i="15"/>
  <c r="U112" i="15"/>
  <c r="X113" i="15"/>
  <c r="AS113" i="15"/>
  <c r="AV114" i="15"/>
  <c r="BI114" i="15"/>
  <c r="BI137" i="15" s="1"/>
  <c r="K118" i="15"/>
  <c r="T118" i="15"/>
  <c r="AP118" i="15"/>
  <c r="U120" i="15"/>
  <c r="X121" i="15"/>
  <c r="AS121" i="15"/>
  <c r="AJ122" i="15"/>
  <c r="BI122" i="15"/>
  <c r="K126" i="15"/>
  <c r="T126" i="15"/>
  <c r="AP126" i="15"/>
  <c r="X128" i="15"/>
  <c r="AF128" i="15"/>
  <c r="AG129" i="15"/>
  <c r="AY129" i="15"/>
  <c r="BK129" i="15" s="1"/>
  <c r="AJ130" i="15"/>
  <c r="R111" i="15"/>
  <c r="AA111" i="15"/>
  <c r="BE111" i="15" s="1"/>
  <c r="AM111" i="15"/>
  <c r="BH111" i="15" s="1"/>
  <c r="K112" i="15"/>
  <c r="T112" i="15"/>
  <c r="AD112" i="15"/>
  <c r="AP112" i="15"/>
  <c r="X114" i="15"/>
  <c r="U114" i="15"/>
  <c r="AF114" i="15"/>
  <c r="AR114" i="15"/>
  <c r="X115" i="15"/>
  <c r="AG115" i="15"/>
  <c r="AS115" i="15"/>
  <c r="AY115" i="15"/>
  <c r="BK115" i="15" s="1"/>
  <c r="AJ116" i="15"/>
  <c r="AV116" i="15"/>
  <c r="BI116" i="15"/>
  <c r="I118" i="15"/>
  <c r="O118" i="15"/>
  <c r="BB118" i="15" s="1"/>
  <c r="Z118" i="15"/>
  <c r="BD118" i="15" s="1"/>
  <c r="AL118" i="15"/>
  <c r="BG118" i="15" s="1"/>
  <c r="R119" i="15"/>
  <c r="AA119" i="15"/>
  <c r="BE119" i="15" s="1"/>
  <c r="AM119" i="15"/>
  <c r="BH119" i="15" s="1"/>
  <c r="K120" i="15"/>
  <c r="T120" i="15"/>
  <c r="AD120" i="15"/>
  <c r="AP120" i="15"/>
  <c r="X122" i="15"/>
  <c r="U122" i="15"/>
  <c r="AF122" i="15"/>
  <c r="AR122" i="15"/>
  <c r="X123" i="15"/>
  <c r="AG123" i="15"/>
  <c r="AS123" i="15"/>
  <c r="AY123" i="15"/>
  <c r="BK123" i="15" s="1"/>
  <c r="AJ124" i="15"/>
  <c r="AV124" i="15"/>
  <c r="BI124" i="15"/>
  <c r="I126" i="15"/>
  <c r="O126" i="15"/>
  <c r="BB126" i="15" s="1"/>
  <c r="Z126" i="15"/>
  <c r="BD126" i="15" s="1"/>
  <c r="AL126" i="15"/>
  <c r="BG126" i="15" s="1"/>
  <c r="R127" i="15"/>
  <c r="AA127" i="15"/>
  <c r="BE127" i="15" s="1"/>
  <c r="AM127" i="15"/>
  <c r="BH127" i="15" s="1"/>
  <c r="K128" i="15"/>
  <c r="T128" i="15"/>
  <c r="AD128" i="15"/>
  <c r="AP128" i="15"/>
  <c r="X130" i="15"/>
  <c r="U130" i="15"/>
  <c r="AF130" i="15"/>
  <c r="AR130" i="15"/>
  <c r="X131" i="15"/>
  <c r="AG131" i="15"/>
  <c r="AS131" i="15"/>
  <c r="AY131" i="15"/>
  <c r="BK131" i="15" s="1"/>
  <c r="N132" i="15"/>
  <c r="BA132" i="15" s="1"/>
  <c r="AJ132" i="15"/>
  <c r="E111" i="15"/>
  <c r="K111" i="15"/>
  <c r="Z111" i="15"/>
  <c r="BD111" i="15" s="1"/>
  <c r="AF111" i="15"/>
  <c r="AL111" i="15"/>
  <c r="BG111" i="15" s="1"/>
  <c r="AR111" i="15"/>
  <c r="R112" i="15"/>
  <c r="E113" i="15"/>
  <c r="K113" i="15"/>
  <c r="Z113" i="15"/>
  <c r="BD113" i="15" s="1"/>
  <c r="AF113" i="15"/>
  <c r="AL113" i="15"/>
  <c r="BG113" i="15" s="1"/>
  <c r="AR113" i="15"/>
  <c r="R114" i="15"/>
  <c r="E115" i="15"/>
  <c r="K115" i="15"/>
  <c r="Z115" i="15"/>
  <c r="BD115" i="15" s="1"/>
  <c r="AF115" i="15"/>
  <c r="AL115" i="15"/>
  <c r="BG115" i="15" s="1"/>
  <c r="AR115" i="15"/>
  <c r="R116" i="15"/>
  <c r="E117" i="15"/>
  <c r="K117" i="15"/>
  <c r="Z117" i="15"/>
  <c r="BD117" i="15" s="1"/>
  <c r="AF117" i="15"/>
  <c r="AL117" i="15"/>
  <c r="BG117" i="15" s="1"/>
  <c r="AR117" i="15"/>
  <c r="R118" i="15"/>
  <c r="E119" i="15"/>
  <c r="K119" i="15"/>
  <c r="Z119" i="15"/>
  <c r="BD119" i="15" s="1"/>
  <c r="AF119" i="15"/>
  <c r="AL119" i="15"/>
  <c r="BG119" i="15" s="1"/>
  <c r="AR119" i="15"/>
  <c r="R120" i="15"/>
  <c r="E121" i="15"/>
  <c r="K121" i="15"/>
  <c r="Z121" i="15"/>
  <c r="BD121" i="15" s="1"/>
  <c r="AF121" i="15"/>
  <c r="AL121" i="15"/>
  <c r="BG121" i="15" s="1"/>
  <c r="AR121" i="15"/>
  <c r="R122" i="15"/>
  <c r="E123" i="15"/>
  <c r="K123" i="15"/>
  <c r="Z123" i="15"/>
  <c r="BD123" i="15" s="1"/>
  <c r="AF123" i="15"/>
  <c r="AL123" i="15"/>
  <c r="BG123" i="15" s="1"/>
  <c r="AR123" i="15"/>
  <c r="R124" i="15"/>
  <c r="E125" i="15"/>
  <c r="K125" i="15"/>
  <c r="Z125" i="15"/>
  <c r="BD125" i="15" s="1"/>
  <c r="AF125" i="15"/>
  <c r="AL125" i="15"/>
  <c r="BG125" i="15" s="1"/>
  <c r="AR125" i="15"/>
  <c r="R126" i="15"/>
  <c r="E127" i="15"/>
  <c r="K127" i="15"/>
  <c r="Z127" i="15"/>
  <c r="BD127" i="15" s="1"/>
  <c r="AF127" i="15"/>
  <c r="AL127" i="15"/>
  <c r="BG127" i="15" s="1"/>
  <c r="AR127" i="15"/>
  <c r="R128" i="15"/>
  <c r="E129" i="15"/>
  <c r="K129" i="15"/>
  <c r="Z129" i="15"/>
  <c r="BD129" i="15" s="1"/>
  <c r="AF129" i="15"/>
  <c r="AL129" i="15"/>
  <c r="BG129" i="15" s="1"/>
  <c r="AR129" i="15"/>
  <c r="R130" i="15"/>
  <c r="E131" i="15"/>
  <c r="K131" i="15"/>
  <c r="Z131" i="15"/>
  <c r="BD131" i="15" s="1"/>
  <c r="AF131" i="15"/>
  <c r="AL131" i="15"/>
  <c r="BG131" i="15" s="1"/>
  <c r="AR131" i="15"/>
  <c r="R132" i="15"/>
  <c r="I111" i="15"/>
  <c r="AD111" i="15"/>
  <c r="AJ111" i="15"/>
  <c r="AP111" i="15"/>
  <c r="I113" i="15"/>
  <c r="AD113" i="15"/>
  <c r="AJ113" i="15"/>
  <c r="AP113" i="15"/>
  <c r="I115" i="15"/>
  <c r="AD115" i="15"/>
  <c r="AJ115" i="15"/>
  <c r="AP115" i="15"/>
  <c r="I117" i="15"/>
  <c r="AD117" i="15"/>
  <c r="AJ117" i="15"/>
  <c r="AP117" i="15"/>
  <c r="I119" i="15"/>
  <c r="AD119" i="15"/>
  <c r="AJ119" i="15"/>
  <c r="AP119" i="15"/>
  <c r="I121" i="15"/>
  <c r="AD121" i="15"/>
  <c r="AJ121" i="15"/>
  <c r="AP121" i="15"/>
  <c r="I123" i="15"/>
  <c r="AD123" i="15"/>
  <c r="AJ123" i="15"/>
  <c r="AP123" i="15"/>
  <c r="I125" i="15"/>
  <c r="AD125" i="15"/>
  <c r="AJ125" i="15"/>
  <c r="AP125" i="15"/>
  <c r="I127" i="15"/>
  <c r="AD127" i="15"/>
  <c r="AJ127" i="15"/>
  <c r="AP127" i="15"/>
  <c r="I129" i="15"/>
  <c r="AD129" i="15"/>
  <c r="AJ129" i="15"/>
  <c r="AP129" i="15"/>
  <c r="I131" i="15"/>
  <c r="AD131" i="15"/>
  <c r="AJ131" i="15"/>
  <c r="AP131" i="15"/>
  <c r="AK36" i="15"/>
  <c r="BF36" i="15" s="1"/>
  <c r="AK37" i="15"/>
  <c r="BF37" i="15" s="1"/>
  <c r="AK38" i="15"/>
  <c r="BF38" i="15" s="1"/>
  <c r="AK39" i="15"/>
  <c r="BF39" i="15" s="1"/>
  <c r="AK40" i="15"/>
  <c r="BF40" i="15" s="1"/>
  <c r="AK41" i="15"/>
  <c r="BF41" i="15" s="1"/>
  <c r="AK42" i="15"/>
  <c r="BF42" i="15" s="1"/>
  <c r="AK43" i="15"/>
  <c r="BF43" i="15" s="1"/>
  <c r="AK44" i="15"/>
  <c r="BF44" i="15" s="1"/>
  <c r="AK45" i="15"/>
  <c r="BF45" i="15" s="1"/>
  <c r="AK46" i="15"/>
  <c r="BF46" i="15" s="1"/>
  <c r="AK47" i="15"/>
  <c r="BF47" i="15" s="1"/>
  <c r="AK48" i="15"/>
  <c r="BF48" i="15" s="1"/>
  <c r="AK49" i="15"/>
  <c r="BF49" i="15" s="1"/>
  <c r="AK50" i="15"/>
  <c r="BF50" i="15" s="1"/>
  <c r="AK51" i="15"/>
  <c r="BF51" i="15" s="1"/>
  <c r="AK52" i="15"/>
  <c r="BF52" i="15" s="1"/>
  <c r="AK53" i="15"/>
  <c r="BF53" i="15" s="1"/>
  <c r="AK54" i="15"/>
  <c r="BF54" i="15" s="1"/>
  <c r="AK55" i="15"/>
  <c r="BF55" i="15" s="1"/>
  <c r="AK56" i="15"/>
  <c r="BF56" i="15" s="1"/>
  <c r="AK57" i="15"/>
  <c r="BF57" i="15" s="1"/>
  <c r="AK35" i="15"/>
  <c r="BF35" i="15" s="1"/>
  <c r="BI95" i="15"/>
  <c r="AT96" i="15"/>
  <c r="AH96" i="15"/>
  <c r="M95" i="15"/>
  <c r="AZ95" i="15" s="1"/>
  <c r="Y95" i="15"/>
  <c r="BC95" i="15" s="1"/>
  <c r="C95" i="15"/>
  <c r="F95" i="15" s="1"/>
  <c r="AW93" i="15"/>
  <c r="BI93" i="15" s="1"/>
  <c r="Y93" i="15"/>
  <c r="BC93" i="15" s="1"/>
  <c r="M93" i="15"/>
  <c r="AZ93" i="15" s="1"/>
  <c r="C93" i="15"/>
  <c r="AW92" i="15"/>
  <c r="BI92" i="15" s="1"/>
  <c r="Y92" i="15"/>
  <c r="BC92" i="15" s="1"/>
  <c r="M92" i="15"/>
  <c r="AZ92" i="15" s="1"/>
  <c r="C92" i="15"/>
  <c r="AO92" i="15" s="1"/>
  <c r="AW91" i="15"/>
  <c r="BI91" i="15" s="1"/>
  <c r="Y91" i="15"/>
  <c r="BC91" i="15" s="1"/>
  <c r="M91" i="15"/>
  <c r="AZ91" i="15" s="1"/>
  <c r="C91" i="15"/>
  <c r="AW90" i="15"/>
  <c r="BI90" i="15" s="1"/>
  <c r="Y90" i="15"/>
  <c r="BC90" i="15" s="1"/>
  <c r="M90" i="15"/>
  <c r="AZ90" i="15" s="1"/>
  <c r="C90" i="15"/>
  <c r="AL90" i="15" s="1"/>
  <c r="BG90" i="15" s="1"/>
  <c r="AW89" i="15"/>
  <c r="BI89" i="15" s="1"/>
  <c r="Y89" i="15"/>
  <c r="BC89" i="15" s="1"/>
  <c r="M89" i="15"/>
  <c r="AZ89" i="15" s="1"/>
  <c r="C89" i="15"/>
  <c r="Q89" i="15" s="1"/>
  <c r="AW88" i="15"/>
  <c r="BI88" i="15" s="1"/>
  <c r="Y88" i="15"/>
  <c r="BC88" i="15" s="1"/>
  <c r="M88" i="15"/>
  <c r="AZ88" i="15" s="1"/>
  <c r="C88" i="15"/>
  <c r="AW87" i="15"/>
  <c r="BI87" i="15" s="1"/>
  <c r="Y87" i="15"/>
  <c r="BC87" i="15" s="1"/>
  <c r="M87" i="15"/>
  <c r="AZ87" i="15" s="1"/>
  <c r="C87" i="15"/>
  <c r="AW86" i="15"/>
  <c r="BI86" i="15" s="1"/>
  <c r="Y86" i="15"/>
  <c r="BC86" i="15" s="1"/>
  <c r="M86" i="15"/>
  <c r="AZ86" i="15" s="1"/>
  <c r="C86" i="15"/>
  <c r="T86" i="15" s="1"/>
  <c r="AW85" i="15"/>
  <c r="BI85" i="15" s="1"/>
  <c r="Y85" i="15"/>
  <c r="BC85" i="15" s="1"/>
  <c r="M85" i="15"/>
  <c r="AZ85" i="15" s="1"/>
  <c r="C85" i="15"/>
  <c r="AO85" i="15" s="1"/>
  <c r="AW84" i="15"/>
  <c r="BI84" i="15" s="1"/>
  <c r="Y84" i="15"/>
  <c r="BC84" i="15" s="1"/>
  <c r="M84" i="15"/>
  <c r="AZ84" i="15" s="1"/>
  <c r="C84" i="15"/>
  <c r="Q84" i="15" s="1"/>
  <c r="AW83" i="15"/>
  <c r="BI83" i="15" s="1"/>
  <c r="Y83" i="15"/>
  <c r="BC83" i="15" s="1"/>
  <c r="M83" i="15"/>
  <c r="C83" i="15"/>
  <c r="AW82" i="15"/>
  <c r="BI82" i="15" s="1"/>
  <c r="Y82" i="15"/>
  <c r="BC82" i="15" s="1"/>
  <c r="M82" i="15"/>
  <c r="C82" i="15"/>
  <c r="AO82" i="15" s="1"/>
  <c r="AW81" i="15"/>
  <c r="BI81" i="15" s="1"/>
  <c r="Y81" i="15"/>
  <c r="BC81" i="15" s="1"/>
  <c r="M81" i="15"/>
  <c r="C81" i="15"/>
  <c r="W81" i="15" s="1"/>
  <c r="AW80" i="15"/>
  <c r="BI80" i="15" s="1"/>
  <c r="Y80" i="15"/>
  <c r="BC80" i="15" s="1"/>
  <c r="M80" i="15"/>
  <c r="AZ80" i="15" s="1"/>
  <c r="C80" i="15"/>
  <c r="AW79" i="15"/>
  <c r="BI79" i="15" s="1"/>
  <c r="Y79" i="15"/>
  <c r="BC79" i="15" s="1"/>
  <c r="M79" i="15"/>
  <c r="AZ79" i="15" s="1"/>
  <c r="C79" i="15"/>
  <c r="AW78" i="15"/>
  <c r="BI78" i="15" s="1"/>
  <c r="Y78" i="15"/>
  <c r="BC78" i="15" s="1"/>
  <c r="M78" i="15"/>
  <c r="AZ78" i="15" s="1"/>
  <c r="C78" i="15"/>
  <c r="AO78" i="15" s="1"/>
  <c r="AW77" i="15"/>
  <c r="BI77" i="15" s="1"/>
  <c r="Y77" i="15"/>
  <c r="BC77" i="15" s="1"/>
  <c r="M77" i="15"/>
  <c r="AZ77" i="15" s="1"/>
  <c r="C77" i="15"/>
  <c r="AL77" i="15" s="1"/>
  <c r="BG77" i="15" s="1"/>
  <c r="AW76" i="15"/>
  <c r="BI76" i="15" s="1"/>
  <c r="Y76" i="15"/>
  <c r="BC76" i="15" s="1"/>
  <c r="M76" i="15"/>
  <c r="C76" i="15"/>
  <c r="AI76" i="15" s="1"/>
  <c r="AW75" i="15"/>
  <c r="BI75" i="15" s="1"/>
  <c r="Y75" i="15"/>
  <c r="BC75" i="15" s="1"/>
  <c r="M75" i="15"/>
  <c r="AZ75" i="15" s="1"/>
  <c r="C75" i="15"/>
  <c r="AW74" i="15"/>
  <c r="BI74" i="15" s="1"/>
  <c r="Y74" i="15"/>
  <c r="BC74" i="15" s="1"/>
  <c r="M74" i="15"/>
  <c r="AZ74" i="15" s="1"/>
  <c r="C74" i="15"/>
  <c r="W74" i="15" s="1"/>
  <c r="AW73" i="15"/>
  <c r="BI73" i="15" s="1"/>
  <c r="Y73" i="15"/>
  <c r="BC73" i="15" s="1"/>
  <c r="M73" i="15"/>
  <c r="AZ73" i="15" s="1"/>
  <c r="C73" i="15"/>
  <c r="AW72" i="15"/>
  <c r="BI72" i="15" s="1"/>
  <c r="Y72" i="15"/>
  <c r="BC72" i="15" s="1"/>
  <c r="M72" i="15"/>
  <c r="AZ72" i="15" s="1"/>
  <c r="C72" i="15"/>
  <c r="AC72" i="15" s="1"/>
  <c r="AW71" i="15"/>
  <c r="Y71" i="15"/>
  <c r="BC71" i="15" s="1"/>
  <c r="M71" i="15"/>
  <c r="AZ71" i="15" s="1"/>
  <c r="C71" i="15"/>
  <c r="AU71" i="15" s="1"/>
  <c r="AW70" i="15"/>
  <c r="Y70" i="15"/>
  <c r="M70" i="15"/>
  <c r="C70" i="15"/>
  <c r="T70" i="15" s="1"/>
  <c r="AW69" i="15"/>
  <c r="BI69" i="15" s="1"/>
  <c r="Y69" i="15"/>
  <c r="BC69" i="15" s="1"/>
  <c r="M69" i="15"/>
  <c r="AZ69" i="15" s="1"/>
  <c r="C69" i="15"/>
  <c r="AW68" i="15"/>
  <c r="Y68" i="15"/>
  <c r="M68" i="15"/>
  <c r="C68" i="15"/>
  <c r="AI68" i="15" s="1"/>
  <c r="AW67" i="15"/>
  <c r="BI67" i="15" s="1"/>
  <c r="Y67" i="15"/>
  <c r="BC67" i="15" s="1"/>
  <c r="M67" i="15"/>
  <c r="AZ67" i="15" s="1"/>
  <c r="C67" i="15"/>
  <c r="Q67" i="15" s="1"/>
  <c r="AW66" i="15"/>
  <c r="BI66" i="15" s="1"/>
  <c r="Y66" i="15"/>
  <c r="BC66" i="15" s="1"/>
  <c r="M66" i="15"/>
  <c r="AZ66" i="15" s="1"/>
  <c r="C66" i="15"/>
  <c r="H66" i="15" s="1"/>
  <c r="AW65" i="15"/>
  <c r="BI65" i="15" s="1"/>
  <c r="Y65" i="15"/>
  <c r="BC65" i="15" s="1"/>
  <c r="M65" i="15"/>
  <c r="AZ65" i="15" s="1"/>
  <c r="C65" i="15"/>
  <c r="AW64" i="15"/>
  <c r="BI64" i="15" s="1"/>
  <c r="Y64" i="15"/>
  <c r="BC64" i="15" s="1"/>
  <c r="M64" i="15"/>
  <c r="AZ64" i="15" s="1"/>
  <c r="C64" i="15"/>
  <c r="AO64" i="15" s="1"/>
  <c r="AW63" i="15"/>
  <c r="BI63" i="15" s="1"/>
  <c r="Y63" i="15"/>
  <c r="BC63" i="15" s="1"/>
  <c r="M63" i="15"/>
  <c r="AZ63" i="15" s="1"/>
  <c r="C63" i="15"/>
  <c r="I63" i="15" s="1"/>
  <c r="AT59" i="15"/>
  <c r="AT105" i="15" s="1"/>
  <c r="AQ59" i="15"/>
  <c r="AN59" i="15"/>
  <c r="AN105" i="15" s="1"/>
  <c r="AN107" i="15" s="1"/>
  <c r="AE59" i="15"/>
  <c r="AE105" i="15" s="1"/>
  <c r="AB59" i="15"/>
  <c r="S59" i="15"/>
  <c r="P59" i="15"/>
  <c r="P149" i="15" s="1"/>
  <c r="J59" i="15"/>
  <c r="J105" i="15" s="1"/>
  <c r="G59" i="15"/>
  <c r="G149" i="15" s="1"/>
  <c r="D59" i="15"/>
  <c r="B59" i="15"/>
  <c r="AW57" i="15"/>
  <c r="BI57" i="15" s="1"/>
  <c r="Y57" i="15"/>
  <c r="BC57" i="15" s="1"/>
  <c r="M57" i="15"/>
  <c r="AZ57" i="15" s="1"/>
  <c r="C57" i="15"/>
  <c r="AR57" i="15" s="1"/>
  <c r="AW56" i="15"/>
  <c r="BI56" i="15" s="1"/>
  <c r="Y56" i="15"/>
  <c r="BC56" i="15" s="1"/>
  <c r="M56" i="15"/>
  <c r="AZ56" i="15" s="1"/>
  <c r="C56" i="15"/>
  <c r="AU56" i="15" s="1"/>
  <c r="AW55" i="15"/>
  <c r="BI55" i="15" s="1"/>
  <c r="Y55" i="15"/>
  <c r="BC55" i="15" s="1"/>
  <c r="M55" i="15"/>
  <c r="AZ55" i="15" s="1"/>
  <c r="C55" i="15"/>
  <c r="AW54" i="15"/>
  <c r="BI54" i="15" s="1"/>
  <c r="Y54" i="15"/>
  <c r="BC54" i="15" s="1"/>
  <c r="M54" i="15"/>
  <c r="AZ54" i="15" s="1"/>
  <c r="C54" i="15"/>
  <c r="AI54" i="15" s="1"/>
  <c r="AW53" i="15"/>
  <c r="BI53" i="15" s="1"/>
  <c r="Y53" i="15"/>
  <c r="BC53" i="15" s="1"/>
  <c r="M53" i="15"/>
  <c r="AZ53" i="15" s="1"/>
  <c r="C53" i="15"/>
  <c r="AW52" i="15"/>
  <c r="BI52" i="15" s="1"/>
  <c r="Y52" i="15"/>
  <c r="BC52" i="15" s="1"/>
  <c r="M52" i="15"/>
  <c r="AZ52" i="15" s="1"/>
  <c r="C52" i="15"/>
  <c r="AC52" i="15" s="1"/>
  <c r="AW51" i="15"/>
  <c r="BI51" i="15" s="1"/>
  <c r="Y51" i="15"/>
  <c r="BC51" i="15" s="1"/>
  <c r="M51" i="15"/>
  <c r="AZ51" i="15" s="1"/>
  <c r="C51" i="15"/>
  <c r="AR51" i="15" s="1"/>
  <c r="AW50" i="15"/>
  <c r="BI50" i="15" s="1"/>
  <c r="Y50" i="15"/>
  <c r="BC50" i="15" s="1"/>
  <c r="M50" i="15"/>
  <c r="AZ50" i="15" s="1"/>
  <c r="C50" i="15"/>
  <c r="AO50" i="15" s="1"/>
  <c r="AW49" i="15"/>
  <c r="BI49" i="15" s="1"/>
  <c r="Y49" i="15"/>
  <c r="BC49" i="15" s="1"/>
  <c r="M49" i="15"/>
  <c r="AZ49" i="15" s="1"/>
  <c r="C49" i="15"/>
  <c r="AW48" i="15"/>
  <c r="BI48" i="15" s="1"/>
  <c r="Y48" i="15"/>
  <c r="BC48" i="15" s="1"/>
  <c r="M48" i="15"/>
  <c r="AZ48" i="15" s="1"/>
  <c r="C48" i="15"/>
  <c r="AF48" i="15" s="1"/>
  <c r="AW47" i="15"/>
  <c r="BI47" i="15" s="1"/>
  <c r="Y47" i="15"/>
  <c r="BC47" i="15" s="1"/>
  <c r="M47" i="15"/>
  <c r="AZ47" i="15" s="1"/>
  <c r="C47" i="15"/>
  <c r="AW46" i="15"/>
  <c r="BI46" i="15" s="1"/>
  <c r="Y46" i="15"/>
  <c r="BC46" i="15" s="1"/>
  <c r="M46" i="15"/>
  <c r="AZ46" i="15" s="1"/>
  <c r="C46" i="15"/>
  <c r="T46" i="15" s="1"/>
  <c r="AW45" i="15"/>
  <c r="BI45" i="15" s="1"/>
  <c r="Y45" i="15"/>
  <c r="BC45" i="15" s="1"/>
  <c r="M45" i="15"/>
  <c r="AZ45" i="15" s="1"/>
  <c r="C45" i="15"/>
  <c r="AW44" i="15"/>
  <c r="BI44" i="15" s="1"/>
  <c r="Y44" i="15"/>
  <c r="BC44" i="15" s="1"/>
  <c r="M44" i="15"/>
  <c r="AZ44" i="15" s="1"/>
  <c r="C44" i="15"/>
  <c r="AC44" i="15" s="1"/>
  <c r="AW43" i="15"/>
  <c r="Y43" i="15"/>
  <c r="BC43" i="15" s="1"/>
  <c r="M43" i="15"/>
  <c r="AZ43" i="15" s="1"/>
  <c r="C43" i="15"/>
  <c r="I43" i="15" s="1"/>
  <c r="AW42" i="15"/>
  <c r="Y42" i="15"/>
  <c r="BC42" i="15" s="1"/>
  <c r="M42" i="15"/>
  <c r="AZ42" i="15" s="1"/>
  <c r="C42" i="15"/>
  <c r="W42" i="15" s="1"/>
  <c r="AW41" i="15"/>
  <c r="BI41" i="15" s="1"/>
  <c r="Y41" i="15"/>
  <c r="BC41" i="15" s="1"/>
  <c r="M41" i="15"/>
  <c r="AZ41" i="15" s="1"/>
  <c r="C41" i="15"/>
  <c r="Q41" i="15" s="1"/>
  <c r="AW40" i="15"/>
  <c r="BI40" i="15" s="1"/>
  <c r="Y40" i="15"/>
  <c r="BC40" i="15" s="1"/>
  <c r="M40" i="15"/>
  <c r="AZ40" i="15" s="1"/>
  <c r="C40" i="15"/>
  <c r="W40" i="15" s="1"/>
  <c r="AW39" i="15"/>
  <c r="BI39" i="15" s="1"/>
  <c r="Y39" i="15"/>
  <c r="BC39" i="15" s="1"/>
  <c r="M39" i="15"/>
  <c r="AZ39" i="15" s="1"/>
  <c r="C39" i="15"/>
  <c r="AU39" i="15" s="1"/>
  <c r="AW38" i="15"/>
  <c r="BI38" i="15" s="1"/>
  <c r="Y38" i="15"/>
  <c r="BC38" i="15" s="1"/>
  <c r="M38" i="15"/>
  <c r="AZ38" i="15" s="1"/>
  <c r="C38" i="15"/>
  <c r="AW37" i="15"/>
  <c r="BI37" i="15" s="1"/>
  <c r="Y37" i="15"/>
  <c r="BC37" i="15" s="1"/>
  <c r="M37" i="15"/>
  <c r="AZ37" i="15" s="1"/>
  <c r="C37" i="15"/>
  <c r="AW36" i="15"/>
  <c r="BI36" i="15" s="1"/>
  <c r="Y36" i="15"/>
  <c r="BC36" i="15" s="1"/>
  <c r="M36" i="15"/>
  <c r="C36" i="15"/>
  <c r="K36" i="15" s="1"/>
  <c r="AW35" i="15"/>
  <c r="BI35" i="15" s="1"/>
  <c r="Y35" i="15"/>
  <c r="BC35" i="15" s="1"/>
  <c r="M35" i="15"/>
  <c r="AZ35" i="15" s="1"/>
  <c r="C35" i="15"/>
  <c r="AI35" i="15" s="1"/>
  <c r="C16" i="15"/>
  <c r="Q16" i="15" s="1"/>
  <c r="M16" i="15"/>
  <c r="AZ16" i="15" s="1"/>
  <c r="Y16" i="15"/>
  <c r="BC16" i="15" s="1"/>
  <c r="AW16" i="15"/>
  <c r="C17" i="15"/>
  <c r="AF17" i="15" s="1"/>
  <c r="M17" i="15"/>
  <c r="AZ17" i="15" s="1"/>
  <c r="Y17" i="15"/>
  <c r="AW17" i="15"/>
  <c r="BI17" i="15" s="1"/>
  <c r="C18" i="15"/>
  <c r="M18" i="15"/>
  <c r="AZ18" i="15" s="1"/>
  <c r="Y18" i="15"/>
  <c r="BC18" i="15" s="1"/>
  <c r="AW18" i="15"/>
  <c r="C19" i="15"/>
  <c r="M19" i="15"/>
  <c r="AZ19" i="15" s="1"/>
  <c r="Y19" i="15"/>
  <c r="AW19" i="15"/>
  <c r="BI19" i="15" s="1"/>
  <c r="C20" i="15"/>
  <c r="H20" i="15" s="1"/>
  <c r="M20" i="15"/>
  <c r="AZ20" i="15" s="1"/>
  <c r="Y20" i="15"/>
  <c r="BC20" i="15" s="1"/>
  <c r="AW20" i="15"/>
  <c r="C21" i="15"/>
  <c r="F21" i="15" s="1"/>
  <c r="M21" i="15"/>
  <c r="AZ21" i="15" s="1"/>
  <c r="Y21" i="15"/>
  <c r="AW21" i="15"/>
  <c r="BI21" i="15" s="1"/>
  <c r="C22" i="15"/>
  <c r="M22" i="15"/>
  <c r="AZ22" i="15" s="1"/>
  <c r="Y22" i="15"/>
  <c r="BC22" i="15" s="1"/>
  <c r="AW22" i="15"/>
  <c r="C23" i="15"/>
  <c r="L23" i="15" s="1"/>
  <c r="M23" i="15"/>
  <c r="AZ23" i="15" s="1"/>
  <c r="Y23" i="15"/>
  <c r="BC23" i="15" s="1"/>
  <c r="AW23" i="15"/>
  <c r="BI23" i="15" s="1"/>
  <c r="C24" i="15"/>
  <c r="I24" i="15" s="1"/>
  <c r="M24" i="15"/>
  <c r="AZ24" i="15" s="1"/>
  <c r="Y24" i="15"/>
  <c r="BC24" i="15" s="1"/>
  <c r="AW24" i="15"/>
  <c r="C25" i="15"/>
  <c r="M25" i="15"/>
  <c r="AZ25" i="15" s="1"/>
  <c r="Y25" i="15"/>
  <c r="AW25" i="15"/>
  <c r="BI25" i="15" s="1"/>
  <c r="C26" i="15"/>
  <c r="M26" i="15"/>
  <c r="AZ26" i="15" s="1"/>
  <c r="Y26" i="15"/>
  <c r="AW26" i="15"/>
  <c r="C27" i="15"/>
  <c r="K27" i="15" s="1"/>
  <c r="M27" i="15"/>
  <c r="AZ27" i="15" s="1"/>
  <c r="Y27" i="15"/>
  <c r="BC27" i="15" s="1"/>
  <c r="AW27" i="15"/>
  <c r="BI27" i="15" s="1"/>
  <c r="C28" i="15"/>
  <c r="H28" i="15" s="1"/>
  <c r="M28" i="15"/>
  <c r="AZ28" i="15" s="1"/>
  <c r="Y28" i="15"/>
  <c r="BC28" i="15" s="1"/>
  <c r="AW28" i="15"/>
  <c r="C29" i="15"/>
  <c r="E29" i="15" s="1"/>
  <c r="M29" i="15"/>
  <c r="AZ29" i="15" s="1"/>
  <c r="Y29" i="15"/>
  <c r="BC29" i="15" s="1"/>
  <c r="AW29" i="15"/>
  <c r="BI29" i="15" s="1"/>
  <c r="C7" i="15"/>
  <c r="L7" i="15" s="1"/>
  <c r="M7" i="15"/>
  <c r="AZ7" i="15" s="1"/>
  <c r="Y7" i="15"/>
  <c r="BC7" i="15" s="1"/>
  <c r="AW7" i="15"/>
  <c r="BI7" i="15" s="1"/>
  <c r="C8" i="15"/>
  <c r="W8" i="15" s="1"/>
  <c r="M8" i="15"/>
  <c r="AZ8" i="15" s="1"/>
  <c r="Y8" i="15"/>
  <c r="BC8" i="15" s="1"/>
  <c r="AW8" i="15"/>
  <c r="BI8" i="15" s="1"/>
  <c r="C9" i="15"/>
  <c r="AI9" i="15" s="1"/>
  <c r="M9" i="15"/>
  <c r="AZ9" i="15" s="1"/>
  <c r="Y9" i="15"/>
  <c r="BC9" i="15" s="1"/>
  <c r="AW9" i="15"/>
  <c r="BI9" i="15" s="1"/>
  <c r="C10" i="15"/>
  <c r="M10" i="15"/>
  <c r="AZ10" i="15" s="1"/>
  <c r="Y10" i="15"/>
  <c r="BC10" i="15" s="1"/>
  <c r="AW10" i="15"/>
  <c r="C11" i="15"/>
  <c r="L11" i="15" s="1"/>
  <c r="M11" i="15"/>
  <c r="AZ11" i="15" s="1"/>
  <c r="Y11" i="15"/>
  <c r="BC11" i="15" s="1"/>
  <c r="AW11" i="15"/>
  <c r="BI11" i="15" s="1"/>
  <c r="C12" i="15"/>
  <c r="H12" i="15" s="1"/>
  <c r="M12" i="15"/>
  <c r="AZ12" i="15" s="1"/>
  <c r="Y12" i="15"/>
  <c r="BC12" i="15" s="1"/>
  <c r="AW12" i="15"/>
  <c r="C13" i="15"/>
  <c r="E13" i="15" s="1"/>
  <c r="M13" i="15"/>
  <c r="AZ13" i="15" s="1"/>
  <c r="Y13" i="15"/>
  <c r="AW13" i="15"/>
  <c r="BI13" i="15" s="1"/>
  <c r="C14" i="15"/>
  <c r="F14" i="15" s="1"/>
  <c r="M14" i="15"/>
  <c r="AZ14" i="15" s="1"/>
  <c r="Y14" i="15"/>
  <c r="AW14" i="15"/>
  <c r="C15" i="15"/>
  <c r="AI15" i="15" s="1"/>
  <c r="M15" i="15"/>
  <c r="AZ15" i="15" s="1"/>
  <c r="Y15" i="15"/>
  <c r="BC15" i="15" s="1"/>
  <c r="AW15" i="15"/>
  <c r="BI15" i="15" s="1"/>
  <c r="AW6" i="15"/>
  <c r="BI6" i="15" s="1"/>
  <c r="Y6" i="15"/>
  <c r="BC6" i="15" s="1"/>
  <c r="M6" i="15"/>
  <c r="AZ6" i="15" s="1"/>
  <c r="C6" i="15"/>
  <c r="AT31" i="15"/>
  <c r="AQ31" i="15"/>
  <c r="AN31" i="15"/>
  <c r="AE31" i="15"/>
  <c r="AB31" i="15"/>
  <c r="V31" i="15"/>
  <c r="S31" i="15"/>
  <c r="P31" i="15"/>
  <c r="J31" i="15"/>
  <c r="G151" i="15" l="1"/>
  <c r="G150" i="15"/>
  <c r="BI153" i="15"/>
  <c r="P151" i="15"/>
  <c r="P150" i="15"/>
  <c r="C59" i="15"/>
  <c r="T59" i="15" s="1"/>
  <c r="B145" i="15"/>
  <c r="B105" i="15"/>
  <c r="C105" i="15" s="1"/>
  <c r="W105" i="15" s="1"/>
  <c r="AZ70" i="15"/>
  <c r="M102" i="15"/>
  <c r="AI105" i="15"/>
  <c r="G154" i="15"/>
  <c r="G155" i="15"/>
  <c r="AE107" i="15"/>
  <c r="AE149" i="15"/>
  <c r="B107" i="15"/>
  <c r="C104" i="15"/>
  <c r="B149" i="15"/>
  <c r="AE145" i="15"/>
  <c r="AN149" i="15"/>
  <c r="D145" i="15"/>
  <c r="D105" i="15"/>
  <c r="S105" i="15"/>
  <c r="S145" i="15"/>
  <c r="AQ145" i="15"/>
  <c r="AQ105" i="15"/>
  <c r="AR105" i="15" s="1"/>
  <c r="BC68" i="15"/>
  <c r="BC101" i="15" s="1"/>
  <c r="BC104" i="15" s="1"/>
  <c r="Y101" i="15"/>
  <c r="BC70" i="15"/>
  <c r="BC102" i="15" s="1"/>
  <c r="Y102" i="15"/>
  <c r="AK153" i="15"/>
  <c r="AK154" i="15" s="1"/>
  <c r="AL137" i="15"/>
  <c r="BG137" i="15" s="1"/>
  <c r="AN145" i="15"/>
  <c r="AT145" i="15"/>
  <c r="AR137" i="15"/>
  <c r="W137" i="15"/>
  <c r="T137" i="15"/>
  <c r="AC137" i="15"/>
  <c r="AF137" i="15"/>
  <c r="BL159" i="15"/>
  <c r="BM159" i="15" s="1"/>
  <c r="I137" i="15"/>
  <c r="V151" i="15"/>
  <c r="V150" i="15"/>
  <c r="X137" i="15"/>
  <c r="AW153" i="15"/>
  <c r="AX137" i="15"/>
  <c r="BJ137" i="15" s="1"/>
  <c r="M153" i="15"/>
  <c r="O137" i="15"/>
  <c r="BB137" i="15" s="1"/>
  <c r="N137" i="15"/>
  <c r="BA137" i="15" s="1"/>
  <c r="J145" i="15"/>
  <c r="D154" i="15"/>
  <c r="D155" i="15"/>
  <c r="P145" i="15"/>
  <c r="Y59" i="15"/>
  <c r="P105" i="15"/>
  <c r="G145" i="15"/>
  <c r="G105" i="15"/>
  <c r="AB145" i="15"/>
  <c r="AB105" i="15"/>
  <c r="AU105" i="15"/>
  <c r="BI68" i="15"/>
  <c r="BI101" i="15" s="1"/>
  <c r="AW101" i="15"/>
  <c r="BI70" i="15"/>
  <c r="AW102" i="15"/>
  <c r="AX102" i="15" s="1"/>
  <c r="BJ102" i="15" s="1"/>
  <c r="BL111" i="15"/>
  <c r="AZ137" i="15"/>
  <c r="BF137" i="15"/>
  <c r="BF153" i="15" s="1"/>
  <c r="AM137" i="15"/>
  <c r="BH137" i="15" s="1"/>
  <c r="AP137" i="15"/>
  <c r="AB149" i="15"/>
  <c r="J154" i="15"/>
  <c r="J155" i="15"/>
  <c r="K137" i="15"/>
  <c r="AA137" i="15"/>
  <c r="BE137" i="15" s="1"/>
  <c r="Z137" i="15"/>
  <c r="BD137" i="15" s="1"/>
  <c r="Y153" i="15"/>
  <c r="AJ137" i="15"/>
  <c r="J107" i="15"/>
  <c r="K104" i="15"/>
  <c r="J149" i="15"/>
  <c r="P154" i="15"/>
  <c r="P155" i="15"/>
  <c r="AO105" i="15"/>
  <c r="AZ68" i="15"/>
  <c r="AZ101" i="15" s="1"/>
  <c r="M101" i="15"/>
  <c r="K105" i="15"/>
  <c r="AF105" i="15"/>
  <c r="AF104" i="15"/>
  <c r="BL128" i="15"/>
  <c r="BM128" i="15" s="1"/>
  <c r="V147" i="15"/>
  <c r="AS137" i="15"/>
  <c r="AH154" i="15"/>
  <c r="AH155" i="15"/>
  <c r="AQ107" i="15"/>
  <c r="AQ149" i="15"/>
  <c r="AR104" i="15"/>
  <c r="D149" i="15"/>
  <c r="E104" i="15"/>
  <c r="F104" i="15"/>
  <c r="E137" i="15"/>
  <c r="S149" i="15"/>
  <c r="F137" i="15"/>
  <c r="AD137" i="15"/>
  <c r="AT107" i="15"/>
  <c r="AT149" i="15"/>
  <c r="H137" i="15"/>
  <c r="R137" i="15"/>
  <c r="BC137" i="15"/>
  <c r="BC153" i="15" s="1"/>
  <c r="B498" i="16"/>
  <c r="B254" i="16"/>
  <c r="B241" i="16"/>
  <c r="B242" i="16" s="1"/>
  <c r="B430" i="16" s="1"/>
  <c r="B432" i="16" s="1"/>
  <c r="B45" i="16"/>
  <c r="B46" i="16" s="1"/>
  <c r="B485" i="16"/>
  <c r="B245" i="16"/>
  <c r="B88" i="17" s="1"/>
  <c r="B362" i="16"/>
  <c r="B90" i="17"/>
  <c r="B510" i="16" s="1"/>
  <c r="B99" i="17"/>
  <c r="B480" i="16"/>
  <c r="B235" i="16"/>
  <c r="B236" i="16" s="1"/>
  <c r="B417" i="16" s="1"/>
  <c r="B83" i="17"/>
  <c r="B457" i="16"/>
  <c r="B446" i="16"/>
  <c r="B447" i="16"/>
  <c r="B449" i="16" s="1"/>
  <c r="B571" i="16"/>
  <c r="B360" i="16"/>
  <c r="B27" i="16"/>
  <c r="B271" i="16"/>
  <c r="B592" i="16"/>
  <c r="B162" i="17" s="1"/>
  <c r="B593" i="16"/>
  <c r="B163" i="17" s="1"/>
  <c r="B286" i="16"/>
  <c r="B93" i="17" s="1"/>
  <c r="B126" i="17" s="1"/>
  <c r="AK155" i="15"/>
  <c r="BF154" i="15"/>
  <c r="BF155" i="15"/>
  <c r="BM111" i="15"/>
  <c r="AH107" i="15"/>
  <c r="AK101" i="15"/>
  <c r="AY101" i="15" s="1"/>
  <c r="BK101" i="15" s="1"/>
  <c r="BF104" i="15"/>
  <c r="AY102" i="15"/>
  <c r="BK102" i="15" s="1"/>
  <c r="AL102" i="15"/>
  <c r="BG102" i="15" s="1"/>
  <c r="AS102" i="15"/>
  <c r="BL114" i="15"/>
  <c r="BM114" i="15" s="1"/>
  <c r="BL122" i="15"/>
  <c r="BM122" i="15" s="1"/>
  <c r="AK59" i="15"/>
  <c r="BL95" i="15"/>
  <c r="L74" i="15"/>
  <c r="BL57" i="15"/>
  <c r="BM57" i="15" s="1"/>
  <c r="AC41" i="15"/>
  <c r="E57" i="15"/>
  <c r="R73" i="15"/>
  <c r="F48" i="15"/>
  <c r="AL49" i="15"/>
  <c r="BG49" i="15" s="1"/>
  <c r="F89" i="15"/>
  <c r="BL51" i="15"/>
  <c r="BM51" i="15" s="1"/>
  <c r="BL52" i="15"/>
  <c r="BM52" i="15" s="1"/>
  <c r="BL53" i="15"/>
  <c r="BM53" i="15" s="1"/>
  <c r="BL54" i="15"/>
  <c r="BM54" i="15" s="1"/>
  <c r="BL55" i="15"/>
  <c r="BM55" i="15" s="1"/>
  <c r="E56" i="15"/>
  <c r="BL63" i="15"/>
  <c r="BM63" i="15" s="1"/>
  <c r="BL64" i="15"/>
  <c r="BM64" i="15" s="1"/>
  <c r="BL65" i="15"/>
  <c r="BM65" i="15" s="1"/>
  <c r="L66" i="15"/>
  <c r="BL75" i="15"/>
  <c r="BM75" i="15" s="1"/>
  <c r="BL77" i="15"/>
  <c r="BM77" i="15" s="1"/>
  <c r="E78" i="15"/>
  <c r="BL35" i="15"/>
  <c r="BM35" i="15" s="1"/>
  <c r="BL37" i="15"/>
  <c r="BM37" i="15" s="1"/>
  <c r="BL38" i="15"/>
  <c r="BM38" i="15" s="1"/>
  <c r="BL39" i="15"/>
  <c r="BM39" i="15" s="1"/>
  <c r="BL40" i="15"/>
  <c r="BM40" i="15" s="1"/>
  <c r="BL41" i="15"/>
  <c r="BM41" i="15" s="1"/>
  <c r="AO48" i="15"/>
  <c r="F56" i="15"/>
  <c r="BL66" i="15"/>
  <c r="BM66" i="15" s="1"/>
  <c r="BL67" i="15"/>
  <c r="BM67" i="15" s="1"/>
  <c r="BL68" i="15"/>
  <c r="BM68" i="15" s="1"/>
  <c r="BL69" i="15"/>
  <c r="BM69" i="15" s="1"/>
  <c r="F74" i="15"/>
  <c r="AU74" i="15"/>
  <c r="BL84" i="15"/>
  <c r="BM84" i="15" s="1"/>
  <c r="BL91" i="15"/>
  <c r="BM91" i="15" s="1"/>
  <c r="BL85" i="15"/>
  <c r="BM85" i="15" s="1"/>
  <c r="BL86" i="15"/>
  <c r="BM86" i="15" s="1"/>
  <c r="BL87" i="15"/>
  <c r="BM87" i="15" s="1"/>
  <c r="BL88" i="15"/>
  <c r="BM88" i="15" s="1"/>
  <c r="O83" i="15"/>
  <c r="BB83" i="15" s="1"/>
  <c r="AZ83" i="15"/>
  <c r="BL83" i="15" s="1"/>
  <c r="BM83" i="15" s="1"/>
  <c r="O81" i="15"/>
  <c r="BB81" i="15" s="1"/>
  <c r="AZ81" i="15"/>
  <c r="BL81" i="15" s="1"/>
  <c r="BM81" i="15" s="1"/>
  <c r="H8" i="15"/>
  <c r="Q27" i="15"/>
  <c r="AI28" i="15"/>
  <c r="Z82" i="15"/>
  <c r="BD82" i="15" s="1"/>
  <c r="BL15" i="15"/>
  <c r="BM15" i="15" s="1"/>
  <c r="BL11" i="15"/>
  <c r="BM11" i="15" s="1"/>
  <c r="BL9" i="15"/>
  <c r="BM9" i="15" s="1"/>
  <c r="BL8" i="15"/>
  <c r="BM8" i="15" s="1"/>
  <c r="BL7" i="15"/>
  <c r="BM7" i="15" s="1"/>
  <c r="BL29" i="15"/>
  <c r="BM29" i="15" s="1"/>
  <c r="BL27" i="15"/>
  <c r="BM27" i="15" s="1"/>
  <c r="BL23" i="15"/>
  <c r="BM23" i="15" s="1"/>
  <c r="F29" i="15"/>
  <c r="I16" i="15"/>
  <c r="N13" i="15"/>
  <c r="BA13" i="15" s="1"/>
  <c r="AF29" i="15"/>
  <c r="BL44" i="15"/>
  <c r="BM44" i="15" s="1"/>
  <c r="BL45" i="15"/>
  <c r="BM45" i="15" s="1"/>
  <c r="BL46" i="15"/>
  <c r="BM46" i="15" s="1"/>
  <c r="BL47" i="15"/>
  <c r="BM47" i="15" s="1"/>
  <c r="E48" i="15"/>
  <c r="BL49" i="15"/>
  <c r="BM49" i="15" s="1"/>
  <c r="BL50" i="15"/>
  <c r="BM50" i="15" s="1"/>
  <c r="K51" i="15"/>
  <c r="W56" i="15"/>
  <c r="BC59" i="15"/>
  <c r="BL72" i="15"/>
  <c r="BM72" i="15" s="1"/>
  <c r="BL73" i="15"/>
  <c r="BM73" i="15" s="1"/>
  <c r="E74" i="15"/>
  <c r="Z78" i="15"/>
  <c r="BD78" i="15" s="1"/>
  <c r="BL90" i="15"/>
  <c r="BM90" i="15" s="1"/>
  <c r="AU95" i="15"/>
  <c r="R36" i="15"/>
  <c r="AZ36" i="15"/>
  <c r="BL36" i="15" s="1"/>
  <c r="BM36" i="15" s="1"/>
  <c r="Z14" i="15"/>
  <c r="BD14" i="15" s="1"/>
  <c r="BC14" i="15"/>
  <c r="AD13" i="15"/>
  <c r="BC13" i="15"/>
  <c r="BL13" i="15" s="1"/>
  <c r="BM13" i="15" s="1"/>
  <c r="AV26" i="15"/>
  <c r="BC26" i="15"/>
  <c r="Z25" i="15"/>
  <c r="BD25" i="15" s="1"/>
  <c r="BC25" i="15"/>
  <c r="BL25" i="15" s="1"/>
  <c r="BM25" i="15" s="1"/>
  <c r="AD21" i="15"/>
  <c r="BC21" i="15"/>
  <c r="BL21" i="15" s="1"/>
  <c r="BM21" i="15" s="1"/>
  <c r="AG19" i="15"/>
  <c r="BC19" i="15"/>
  <c r="BL19" i="15" s="1"/>
  <c r="BM19" i="15" s="1"/>
  <c r="AS17" i="15"/>
  <c r="BC17" i="15"/>
  <c r="BL17" i="15" s="1"/>
  <c r="BM17" i="15" s="1"/>
  <c r="U82" i="15"/>
  <c r="AZ82" i="15"/>
  <c r="BL82" i="15" s="1"/>
  <c r="BM82" i="15" s="1"/>
  <c r="AK96" i="15"/>
  <c r="BF96" i="15" s="1"/>
  <c r="BF94" i="15"/>
  <c r="E24" i="15"/>
  <c r="L15" i="15"/>
  <c r="W24" i="15"/>
  <c r="AR28" i="15"/>
  <c r="I42" i="15"/>
  <c r="BL56" i="15"/>
  <c r="BM56" i="15" s="1"/>
  <c r="M59" i="15"/>
  <c r="BL70" i="15"/>
  <c r="L71" i="15"/>
  <c r="BL74" i="15"/>
  <c r="BM74" i="15" s="1"/>
  <c r="BL79" i="15"/>
  <c r="BM79" i="15" s="1"/>
  <c r="BL80" i="15"/>
  <c r="BM80" i="15" s="1"/>
  <c r="K81" i="15"/>
  <c r="AO81" i="15"/>
  <c r="L90" i="15"/>
  <c r="AA91" i="15"/>
  <c r="BE91" i="15" s="1"/>
  <c r="BL92" i="15"/>
  <c r="BM92" i="15" s="1"/>
  <c r="BL93" i="15"/>
  <c r="BM93" i="15" s="1"/>
  <c r="X76" i="15"/>
  <c r="AZ76" i="15"/>
  <c r="BL76" i="15" s="1"/>
  <c r="BM76" i="15" s="1"/>
  <c r="AX14" i="15"/>
  <c r="BJ14" i="15" s="1"/>
  <c r="BI14" i="15"/>
  <c r="AX12" i="15"/>
  <c r="BJ12" i="15" s="1"/>
  <c r="BI12" i="15"/>
  <c r="BL12" i="15" s="1"/>
  <c r="BM12" i="15" s="1"/>
  <c r="AX10" i="15"/>
  <c r="BJ10" i="15" s="1"/>
  <c r="BI10" i="15"/>
  <c r="BL10" i="15" s="1"/>
  <c r="BM10" i="15" s="1"/>
  <c r="AX28" i="15"/>
  <c r="BJ28" i="15" s="1"/>
  <c r="BI28" i="15"/>
  <c r="BL28" i="15" s="1"/>
  <c r="BM28" i="15" s="1"/>
  <c r="AX26" i="15"/>
  <c r="BJ26" i="15" s="1"/>
  <c r="BI26" i="15"/>
  <c r="AX24" i="15"/>
  <c r="BJ24" i="15" s="1"/>
  <c r="BI24" i="15"/>
  <c r="BL24" i="15" s="1"/>
  <c r="BM24" i="15" s="1"/>
  <c r="AX22" i="15"/>
  <c r="BJ22" i="15" s="1"/>
  <c r="BI22" i="15"/>
  <c r="BL22" i="15" s="1"/>
  <c r="BM22" i="15" s="1"/>
  <c r="AX20" i="15"/>
  <c r="BJ20" i="15" s="1"/>
  <c r="BI20" i="15"/>
  <c r="BL20" i="15" s="1"/>
  <c r="BM20" i="15" s="1"/>
  <c r="AX18" i="15"/>
  <c r="BJ18" i="15" s="1"/>
  <c r="BI18" i="15"/>
  <c r="BL18" i="15" s="1"/>
  <c r="BM18" i="15" s="1"/>
  <c r="AX16" i="15"/>
  <c r="BJ16" i="15" s="1"/>
  <c r="BI16" i="15"/>
  <c r="BL16" i="15" s="1"/>
  <c r="BM16" i="15" s="1"/>
  <c r="AX42" i="15"/>
  <c r="BJ42" i="15" s="1"/>
  <c r="BI42" i="15"/>
  <c r="BL42" i="15" s="1"/>
  <c r="BM42" i="15" s="1"/>
  <c r="AX43" i="15"/>
  <c r="BJ43" i="15" s="1"/>
  <c r="BI43" i="15"/>
  <c r="BL43" i="15" s="1"/>
  <c r="BM43" i="15" s="1"/>
  <c r="AX71" i="15"/>
  <c r="BJ71" i="15" s="1"/>
  <c r="BI71" i="15"/>
  <c r="BL71" i="15" s="1"/>
  <c r="BM71" i="15" s="1"/>
  <c r="F13" i="15"/>
  <c r="K23" i="15"/>
  <c r="T12" i="15"/>
  <c r="H42" i="15"/>
  <c r="BL48" i="15"/>
  <c r="BM48" i="15" s="1"/>
  <c r="AL56" i="15"/>
  <c r="BG56" i="15" s="1"/>
  <c r="F70" i="15"/>
  <c r="BL78" i="15"/>
  <c r="BM78" i="15" s="1"/>
  <c r="AL81" i="15"/>
  <c r="BG81" i="15" s="1"/>
  <c r="F82" i="15"/>
  <c r="AL82" i="15"/>
  <c r="BG82" i="15" s="1"/>
  <c r="BL89" i="15"/>
  <c r="BM89" i="15" s="1"/>
  <c r="H90" i="15"/>
  <c r="AI90" i="15"/>
  <c r="E92" i="15"/>
  <c r="AX95" i="15"/>
  <c r="BJ95" i="15" s="1"/>
  <c r="AO95" i="15"/>
  <c r="BL6" i="15"/>
  <c r="BM6" i="15" s="1"/>
  <c r="E8" i="15"/>
  <c r="AX8" i="15"/>
  <c r="BJ8" i="15" s="1"/>
  <c r="I8" i="15"/>
  <c r="AX64" i="15"/>
  <c r="BJ64" i="15" s="1"/>
  <c r="AX73" i="15"/>
  <c r="BJ73" i="15" s="1"/>
  <c r="AC57" i="15"/>
  <c r="AR86" i="15"/>
  <c r="R95" i="15"/>
  <c r="AR95" i="15"/>
  <c r="H24" i="15"/>
  <c r="T17" i="15"/>
  <c r="AF11" i="15"/>
  <c r="AL27" i="15"/>
  <c r="BG27" i="15" s="1"/>
  <c r="AI51" i="15"/>
  <c r="AY52" i="15"/>
  <c r="BK52" i="15" s="1"/>
  <c r="AG63" i="15"/>
  <c r="H64" i="15"/>
  <c r="AU64" i="15"/>
  <c r="AX70" i="15"/>
  <c r="BJ70" i="15" s="1"/>
  <c r="AA72" i="15"/>
  <c r="BE72" i="15" s="1"/>
  <c r="AO72" i="15"/>
  <c r="K85" i="15"/>
  <c r="AU85" i="15"/>
  <c r="F86" i="15"/>
  <c r="AF86" i="15"/>
  <c r="Z95" i="15"/>
  <c r="BD95" i="15" s="1"/>
  <c r="AY29" i="15"/>
  <c r="BK29" i="15" s="1"/>
  <c r="R64" i="15"/>
  <c r="W70" i="15"/>
  <c r="Q72" i="15"/>
  <c r="U14" i="15"/>
  <c r="O13" i="15"/>
  <c r="BB13" i="15" s="1"/>
  <c r="R9" i="15"/>
  <c r="N7" i="15"/>
  <c r="BA7" i="15" s="1"/>
  <c r="N29" i="15"/>
  <c r="BA29" i="15" s="1"/>
  <c r="U22" i="15"/>
  <c r="X21" i="15"/>
  <c r="R20" i="15"/>
  <c r="E21" i="15"/>
  <c r="H16" i="15"/>
  <c r="X13" i="15"/>
  <c r="H35" i="15"/>
  <c r="Q56" i="15"/>
  <c r="AO56" i="15"/>
  <c r="O57" i="15"/>
  <c r="BB57" i="15" s="1"/>
  <c r="F64" i="15"/>
  <c r="AO66" i="15"/>
  <c r="AM68" i="15"/>
  <c r="BH68" i="15" s="1"/>
  <c r="H70" i="15"/>
  <c r="X71" i="15"/>
  <c r="F72" i="15"/>
  <c r="K73" i="15"/>
  <c r="H78" i="15"/>
  <c r="Q82" i="15"/>
  <c r="F85" i="15"/>
  <c r="AL85" i="15"/>
  <c r="BG85" i="15" s="1"/>
  <c r="E86" i="15"/>
  <c r="AC86" i="15"/>
  <c r="I95" i="15"/>
  <c r="AP26" i="15"/>
  <c r="F46" i="15"/>
  <c r="H50" i="15"/>
  <c r="AF50" i="15"/>
  <c r="AS46" i="15"/>
  <c r="AS42" i="15"/>
  <c r="AG11" i="15"/>
  <c r="AD8" i="15"/>
  <c r="AJ28" i="15"/>
  <c r="AM27" i="15"/>
  <c r="BH27" i="15" s="1"/>
  <c r="AD24" i="15"/>
  <c r="AM19" i="15"/>
  <c r="BH19" i="15" s="1"/>
  <c r="AD16" i="15"/>
  <c r="R16" i="15"/>
  <c r="H36" i="15"/>
  <c r="AI36" i="15"/>
  <c r="I44" i="15"/>
  <c r="AU44" i="15"/>
  <c r="H46" i="15"/>
  <c r="K50" i="15"/>
  <c r="AR50" i="15"/>
  <c r="E51" i="15"/>
  <c r="Q51" i="15"/>
  <c r="K56" i="15"/>
  <c r="Z56" i="15"/>
  <c r="BD56" i="15" s="1"/>
  <c r="T44" i="15"/>
  <c r="F44" i="15"/>
  <c r="AC46" i="15"/>
  <c r="AX51" i="15"/>
  <c r="BJ51" i="15" s="1"/>
  <c r="AV10" i="15"/>
  <c r="X29" i="15"/>
  <c r="AA19" i="15"/>
  <c r="BE19" i="15" s="1"/>
  <c r="AX44" i="15"/>
  <c r="BJ44" i="15" s="1"/>
  <c r="AU50" i="15"/>
  <c r="F51" i="15"/>
  <c r="Z51" i="15"/>
  <c r="BD51" i="15" s="1"/>
  <c r="AI56" i="15"/>
  <c r="Z57" i="15"/>
  <c r="BD57" i="15" s="1"/>
  <c r="AO75" i="15"/>
  <c r="Z75" i="15"/>
  <c r="BD75" i="15" s="1"/>
  <c r="H75" i="15"/>
  <c r="E75" i="15"/>
  <c r="Q75" i="15"/>
  <c r="AL75" i="15"/>
  <c r="BG75" i="15" s="1"/>
  <c r="Z88" i="15"/>
  <c r="BD88" i="15" s="1"/>
  <c r="AF88" i="15"/>
  <c r="T69" i="15"/>
  <c r="AI69" i="15"/>
  <c r="W69" i="15"/>
  <c r="L69" i="15"/>
  <c r="AC69" i="15"/>
  <c r="H69" i="15"/>
  <c r="AU69" i="15"/>
  <c r="Q69" i="15"/>
  <c r="AO69" i="15"/>
  <c r="F69" i="15"/>
  <c r="Z74" i="15"/>
  <c r="BD74" i="15" s="1"/>
  <c r="AG74" i="15"/>
  <c r="AO77" i="15"/>
  <c r="H77" i="15"/>
  <c r="Q77" i="15"/>
  <c r="F77" i="15"/>
  <c r="AU77" i="15"/>
  <c r="T91" i="15"/>
  <c r="AL91" i="15"/>
  <c r="BG91" i="15" s="1"/>
  <c r="F91" i="15"/>
  <c r="AI91" i="15"/>
  <c r="W91" i="15"/>
  <c r="E91" i="15"/>
  <c r="AR91" i="15"/>
  <c r="AC91" i="15"/>
  <c r="L91" i="15"/>
  <c r="AJ41" i="15"/>
  <c r="N41" i="15"/>
  <c r="BA41" i="15" s="1"/>
  <c r="AC15" i="15"/>
  <c r="Q15" i="15"/>
  <c r="K15" i="15"/>
  <c r="R15" i="15"/>
  <c r="AI14" i="15"/>
  <c r="W14" i="15"/>
  <c r="T14" i="15"/>
  <c r="H14" i="15"/>
  <c r="AL14" i="15"/>
  <c r="BG14" i="15" s="1"/>
  <c r="AF14" i="15"/>
  <c r="I14" i="15"/>
  <c r="AR13" i="15"/>
  <c r="K13" i="15"/>
  <c r="L13" i="15"/>
  <c r="AC13" i="15"/>
  <c r="L12" i="15"/>
  <c r="AR12" i="15"/>
  <c r="AJ12" i="15"/>
  <c r="N12" i="15"/>
  <c r="BA12" i="15" s="1"/>
  <c r="AI12" i="15"/>
  <c r="E12" i="15"/>
  <c r="AI11" i="15"/>
  <c r="AC11" i="15"/>
  <c r="W11" i="15"/>
  <c r="Q11" i="15"/>
  <c r="X11" i="15"/>
  <c r="T11" i="15"/>
  <c r="K11" i="15"/>
  <c r="AF10" i="15"/>
  <c r="AR10" i="15"/>
  <c r="AL10" i="15"/>
  <c r="BG10" i="15" s="1"/>
  <c r="AI10" i="15"/>
  <c r="H10" i="15"/>
  <c r="I10" i="15"/>
  <c r="F10" i="15"/>
  <c r="I9" i="15"/>
  <c r="W9" i="15"/>
  <c r="Q9" i="15"/>
  <c r="K9" i="15"/>
  <c r="F9" i="15"/>
  <c r="E9" i="15"/>
  <c r="T9" i="15"/>
  <c r="L9" i="15"/>
  <c r="AF9" i="15"/>
  <c r="T8" i="15"/>
  <c r="AF8" i="15"/>
  <c r="AC7" i="15"/>
  <c r="K7" i="15"/>
  <c r="AI7" i="15"/>
  <c r="AU29" i="15"/>
  <c r="L29" i="15"/>
  <c r="AC29" i="15"/>
  <c r="AL29" i="15"/>
  <c r="BG29" i="15" s="1"/>
  <c r="K29" i="15"/>
  <c r="L28" i="15"/>
  <c r="E28" i="15"/>
  <c r="AR27" i="15"/>
  <c r="AG27" i="15"/>
  <c r="AA27" i="15"/>
  <c r="BE27" i="15" s="1"/>
  <c r="X27" i="15"/>
  <c r="AF27" i="15"/>
  <c r="AC27" i="15"/>
  <c r="W27" i="15"/>
  <c r="T27" i="15"/>
  <c r="AL26" i="15"/>
  <c r="BG26" i="15" s="1"/>
  <c r="AR26" i="15"/>
  <c r="H26" i="15"/>
  <c r="I26" i="15"/>
  <c r="F26" i="15"/>
  <c r="AI26" i="15"/>
  <c r="I25" i="15"/>
  <c r="AL25" i="15"/>
  <c r="BG25" i="15" s="1"/>
  <c r="AF25" i="15"/>
  <c r="W25" i="15"/>
  <c r="K25" i="15"/>
  <c r="F25" i="15"/>
  <c r="E25" i="15"/>
  <c r="R25" i="15"/>
  <c r="AI25" i="15"/>
  <c r="T25" i="15"/>
  <c r="L25" i="15"/>
  <c r="Q25" i="15"/>
  <c r="T24" i="15"/>
  <c r="AL24" i="15"/>
  <c r="BG24" i="15" s="1"/>
  <c r="AC23" i="15"/>
  <c r="AI23" i="15"/>
  <c r="O23" i="15"/>
  <c r="BB23" i="15" s="1"/>
  <c r="N23" i="15"/>
  <c r="BA23" i="15" s="1"/>
  <c r="AI22" i="15"/>
  <c r="Z22" i="15"/>
  <c r="BD22" i="15" s="1"/>
  <c r="H22" i="15"/>
  <c r="AS22" i="15"/>
  <c r="AL22" i="15"/>
  <c r="BG22" i="15" s="1"/>
  <c r="I22" i="15"/>
  <c r="AF22" i="15"/>
  <c r="W22" i="15"/>
  <c r="T22" i="15"/>
  <c r="AR21" i="15"/>
  <c r="K21" i="15"/>
  <c r="Q21" i="15"/>
  <c r="L21" i="15"/>
  <c r="AU21" i="15"/>
  <c r="AO21" i="15"/>
  <c r="AC21" i="15"/>
  <c r="AR20" i="15"/>
  <c r="Q20" i="15"/>
  <c r="T20" i="15"/>
  <c r="E20" i="15"/>
  <c r="AI20" i="15"/>
  <c r="AR19" i="15"/>
  <c r="AO19" i="15"/>
  <c r="AL19" i="15"/>
  <c r="BG19" i="15" s="1"/>
  <c r="AF19" i="15"/>
  <c r="T19" i="15"/>
  <c r="AU19" i="15"/>
  <c r="AC19" i="15"/>
  <c r="K19" i="15"/>
  <c r="AL18" i="15"/>
  <c r="BG18" i="15" s="1"/>
  <c r="H18" i="15"/>
  <c r="AI18" i="15"/>
  <c r="I18" i="15"/>
  <c r="F18" i="15"/>
  <c r="I17" i="15"/>
  <c r="AI17" i="15"/>
  <c r="K17" i="15"/>
  <c r="F17" i="15"/>
  <c r="E17" i="15"/>
  <c r="W17" i="15"/>
  <c r="L17" i="15"/>
  <c r="Z17" i="15"/>
  <c r="BD17" i="15" s="1"/>
  <c r="T16" i="15"/>
  <c r="AF16" i="15"/>
  <c r="U16" i="15"/>
  <c r="W16" i="15"/>
  <c r="AL16" i="15"/>
  <c r="BG16" i="15" s="1"/>
  <c r="E16" i="15"/>
  <c r="F22" i="15"/>
  <c r="I28" i="15"/>
  <c r="I20" i="15"/>
  <c r="I12" i="15"/>
  <c r="L27" i="15"/>
  <c r="L19" i="15"/>
  <c r="N24" i="15"/>
  <c r="BA24" i="15" s="1"/>
  <c r="T28" i="15"/>
  <c r="R27" i="15"/>
  <c r="W19" i="15"/>
  <c r="Z9" i="15"/>
  <c r="BD9" i="15" s="1"/>
  <c r="AF24" i="15"/>
  <c r="AJ20" i="15"/>
  <c r="AL17" i="15"/>
  <c r="BG17" i="15" s="1"/>
  <c r="O27" i="15"/>
  <c r="BB27" i="15" s="1"/>
  <c r="F49" i="15"/>
  <c r="Q49" i="15"/>
  <c r="AR55" i="15"/>
  <c r="L55" i="15"/>
  <c r="W55" i="15"/>
  <c r="AU55" i="15"/>
  <c r="K55" i="15"/>
  <c r="AA69" i="15"/>
  <c r="BE69" i="15" s="1"/>
  <c r="AI75" i="15"/>
  <c r="AO88" i="15"/>
  <c r="AM55" i="15"/>
  <c r="BH55" i="15" s="1"/>
  <c r="AA55" i="15"/>
  <c r="BE55" i="15" s="1"/>
  <c r="W52" i="15"/>
  <c r="AO52" i="15"/>
  <c r="K52" i="15"/>
  <c r="AI65" i="15"/>
  <c r="Q65" i="15"/>
  <c r="AX65" i="15"/>
  <c r="BJ65" i="15" s="1"/>
  <c r="O77" i="15"/>
  <c r="BB77" i="15" s="1"/>
  <c r="AS86" i="15"/>
  <c r="O86" i="15"/>
  <c r="BB86" i="15" s="1"/>
  <c r="AA44" i="15"/>
  <c r="BE44" i="15" s="1"/>
  <c r="AJ44" i="15"/>
  <c r="AG49" i="15"/>
  <c r="AX49" i="15"/>
  <c r="BJ49" i="15" s="1"/>
  <c r="X50" i="15"/>
  <c r="R50" i="15"/>
  <c r="O88" i="15"/>
  <c r="BB88" i="15" s="1"/>
  <c r="K93" i="15"/>
  <c r="H93" i="15"/>
  <c r="AM93" i="15"/>
  <c r="BH93" i="15" s="1"/>
  <c r="AJ15" i="15"/>
  <c r="AV15" i="15"/>
  <c r="AD12" i="15"/>
  <c r="AM11" i="15"/>
  <c r="BH11" i="15" s="1"/>
  <c r="AJ7" i="15"/>
  <c r="AD28" i="15"/>
  <c r="AJ23" i="15"/>
  <c r="AD20" i="15"/>
  <c r="AV18" i="15"/>
  <c r="AJ16" i="15"/>
  <c r="N19" i="15"/>
  <c r="BA19" i="15" s="1"/>
  <c r="N8" i="15"/>
  <c r="BA8" i="15" s="1"/>
  <c r="R21" i="15"/>
  <c r="R11" i="15"/>
  <c r="AP15" i="15"/>
  <c r="F41" i="15"/>
  <c r="AC48" i="15"/>
  <c r="K48" i="15"/>
  <c r="W48" i="15"/>
  <c r="AR48" i="15"/>
  <c r="Z50" i="15"/>
  <c r="BD50" i="15" s="1"/>
  <c r="AG50" i="15"/>
  <c r="T63" i="15"/>
  <c r="W63" i="15"/>
  <c r="R69" i="15"/>
  <c r="T72" i="15"/>
  <c r="AU72" i="15"/>
  <c r="H72" i="15"/>
  <c r="R72" i="15"/>
  <c r="AC81" i="15"/>
  <c r="Q81" i="15"/>
  <c r="H81" i="15"/>
  <c r="AU81" i="15"/>
  <c r="F81" i="15"/>
  <c r="AA81" i="15"/>
  <c r="BE81" i="15" s="1"/>
  <c r="AC82" i="15"/>
  <c r="W82" i="15"/>
  <c r="L82" i="15"/>
  <c r="K82" i="15"/>
  <c r="AS82" i="15"/>
  <c r="AA82" i="15"/>
  <c r="BE82" i="15" s="1"/>
  <c r="AA84" i="15"/>
  <c r="BE84" i="15" s="1"/>
  <c r="U93" i="15"/>
  <c r="AG93" i="15"/>
  <c r="AO93" i="15"/>
  <c r="AU41" i="15"/>
  <c r="T41" i="15"/>
  <c r="I41" i="15"/>
  <c r="R29" i="15"/>
  <c r="O17" i="15"/>
  <c r="BB17" i="15" s="1"/>
  <c r="N28" i="15"/>
  <c r="BA28" i="15" s="1"/>
  <c r="N17" i="15"/>
  <c r="BA17" i="15" s="1"/>
  <c r="U24" i="15"/>
  <c r="U8" i="15"/>
  <c r="X19" i="15"/>
  <c r="AA11" i="15"/>
  <c r="BE11" i="15" s="1"/>
  <c r="AP10" i="15"/>
  <c r="AC35" i="15"/>
  <c r="H41" i="15"/>
  <c r="AP41" i="15"/>
  <c r="AU42" i="15"/>
  <c r="AI42" i="15"/>
  <c r="T42" i="15"/>
  <c r="AI44" i="15"/>
  <c r="Q44" i="15"/>
  <c r="H44" i="15"/>
  <c r="N44" i="15"/>
  <c r="BA44" i="15" s="1"/>
  <c r="AP44" i="15"/>
  <c r="K54" i="15"/>
  <c r="AO54" i="15"/>
  <c r="L54" i="15"/>
  <c r="AO57" i="15"/>
  <c r="K57" i="15"/>
  <c r="AL57" i="15"/>
  <c r="BG57" i="15" s="1"/>
  <c r="Q57" i="15"/>
  <c r="H57" i="15"/>
  <c r="AX68" i="15"/>
  <c r="BJ68" i="15" s="1"/>
  <c r="R68" i="15"/>
  <c r="AF73" i="15"/>
  <c r="AO73" i="15"/>
  <c r="AI73" i="15"/>
  <c r="L73" i="15"/>
  <c r="AF84" i="15"/>
  <c r="E84" i="15"/>
  <c r="AO84" i="15"/>
  <c r="T90" i="15"/>
  <c r="AU90" i="15"/>
  <c r="AF90" i="15"/>
  <c r="O90" i="15"/>
  <c r="BB90" i="15" s="1"/>
  <c r="F90" i="15"/>
  <c r="AR90" i="15"/>
  <c r="AC90" i="15"/>
  <c r="E90" i="15"/>
  <c r="W90" i="15"/>
  <c r="AA92" i="15"/>
  <c r="BE92" i="15" s="1"/>
  <c r="Z92" i="15"/>
  <c r="BD92" i="15" s="1"/>
  <c r="Q93" i="15"/>
  <c r="AX37" i="15"/>
  <c r="BJ37" i="15" s="1"/>
  <c r="AX38" i="15"/>
  <c r="BJ38" i="15" s="1"/>
  <c r="AX41" i="15"/>
  <c r="BJ41" i="15" s="1"/>
  <c r="AX48" i="15"/>
  <c r="BJ48" i="15" s="1"/>
  <c r="Z49" i="15"/>
  <c r="BD49" i="15" s="1"/>
  <c r="AC66" i="15"/>
  <c r="AX69" i="15"/>
  <c r="BJ69" i="15" s="1"/>
  <c r="AI70" i="15"/>
  <c r="AX74" i="15"/>
  <c r="BJ74" i="15" s="1"/>
  <c r="AI74" i="15"/>
  <c r="AI78" i="15"/>
  <c r="W85" i="15"/>
  <c r="H86" i="15"/>
  <c r="W86" i="15"/>
  <c r="AI86" i="15"/>
  <c r="AU86" i="15"/>
  <c r="L95" i="15"/>
  <c r="AC95" i="15"/>
  <c r="U54" i="15"/>
  <c r="Q70" i="15"/>
  <c r="AO70" i="15"/>
  <c r="AL76" i="15"/>
  <c r="BG76" i="15" s="1"/>
  <c r="Q78" i="15"/>
  <c r="AL78" i="15"/>
  <c r="BG78" i="15" s="1"/>
  <c r="Z79" i="15"/>
  <c r="BD79" i="15" s="1"/>
  <c r="AX81" i="15"/>
  <c r="BJ81" i="15" s="1"/>
  <c r="AG85" i="15"/>
  <c r="L86" i="15"/>
  <c r="AL86" i="15"/>
  <c r="BG86" i="15" s="1"/>
  <c r="T95" i="15"/>
  <c r="AF95" i="15"/>
  <c r="P96" i="15"/>
  <c r="AR6" i="15"/>
  <c r="AL6" i="15"/>
  <c r="BG6" i="15" s="1"/>
  <c r="AU6" i="15"/>
  <c r="AO6" i="15"/>
  <c r="AC6" i="15"/>
  <c r="W6" i="15"/>
  <c r="Q6" i="15"/>
  <c r="K6" i="15"/>
  <c r="E6" i="15"/>
  <c r="AI6" i="15"/>
  <c r="AA6" i="15"/>
  <c r="BE6" i="15" s="1"/>
  <c r="X6" i="15"/>
  <c r="H6" i="15"/>
  <c r="L6" i="15"/>
  <c r="T6" i="15"/>
  <c r="I6" i="15"/>
  <c r="AS6" i="15"/>
  <c r="AM6" i="15"/>
  <c r="BH6" i="15" s="1"/>
  <c r="AF6" i="15"/>
  <c r="U6" i="15"/>
  <c r="AY13" i="15"/>
  <c r="BK13" i="15" s="1"/>
  <c r="AX13" i="15"/>
  <c r="BJ13" i="15" s="1"/>
  <c r="AY11" i="15"/>
  <c r="BK11" i="15" s="1"/>
  <c r="AX11" i="15"/>
  <c r="BJ11" i="15" s="1"/>
  <c r="AY9" i="15"/>
  <c r="BK9" i="15" s="1"/>
  <c r="AX9" i="15"/>
  <c r="BJ9" i="15" s="1"/>
  <c r="AY7" i="15"/>
  <c r="BK7" i="15" s="1"/>
  <c r="AX7" i="15"/>
  <c r="BJ7" i="15" s="1"/>
  <c r="AY27" i="15"/>
  <c r="BK27" i="15" s="1"/>
  <c r="AX27" i="15"/>
  <c r="BJ27" i="15" s="1"/>
  <c r="AY25" i="15"/>
  <c r="BK25" i="15" s="1"/>
  <c r="AX25" i="15"/>
  <c r="BJ25" i="15" s="1"/>
  <c r="AY23" i="15"/>
  <c r="BK23" i="15" s="1"/>
  <c r="AX23" i="15"/>
  <c r="BJ23" i="15" s="1"/>
  <c r="AY21" i="15"/>
  <c r="BK21" i="15" s="1"/>
  <c r="AX21" i="15"/>
  <c r="BJ21" i="15" s="1"/>
  <c r="AY19" i="15"/>
  <c r="BK19" i="15" s="1"/>
  <c r="AX19" i="15"/>
  <c r="BJ19" i="15" s="1"/>
  <c r="AY17" i="15"/>
  <c r="BK17" i="15" s="1"/>
  <c r="AX17" i="15"/>
  <c r="BJ17" i="15" s="1"/>
  <c r="F6" i="15"/>
  <c r="AY15" i="15"/>
  <c r="BK15" i="15" s="1"/>
  <c r="AX15" i="15"/>
  <c r="BJ15" i="15" s="1"/>
  <c r="Q45" i="15"/>
  <c r="H45" i="15"/>
  <c r="AI45" i="15"/>
  <c r="T45" i="15"/>
  <c r="F45" i="15"/>
  <c r="W45" i="15"/>
  <c r="I45" i="15"/>
  <c r="AU45" i="15"/>
  <c r="T53" i="15"/>
  <c r="AL53" i="15"/>
  <c r="BG53" i="15" s="1"/>
  <c r="F53" i="15"/>
  <c r="AR53" i="15"/>
  <c r="AC53" i="15"/>
  <c r="E53" i="15"/>
  <c r="AU53" i="15"/>
  <c r="AF53" i="15"/>
  <c r="Q53" i="15"/>
  <c r="H53" i="15"/>
  <c r="K53" i="15"/>
  <c r="AI53" i="15"/>
  <c r="L53" i="15"/>
  <c r="AO53" i="15"/>
  <c r="AX56" i="15"/>
  <c r="BJ56" i="15" s="1"/>
  <c r="AY56" i="15"/>
  <c r="BK56" i="15" s="1"/>
  <c r="AX80" i="15"/>
  <c r="BJ80" i="15" s="1"/>
  <c r="AY80" i="15"/>
  <c r="BK80" i="15" s="1"/>
  <c r="T87" i="15"/>
  <c r="AU87" i="15"/>
  <c r="AF87" i="15"/>
  <c r="H87" i="15"/>
  <c r="AL87" i="15"/>
  <c r="BG87" i="15" s="1"/>
  <c r="K87" i="15"/>
  <c r="AI87" i="15"/>
  <c r="L87" i="15"/>
  <c r="W87" i="15"/>
  <c r="F87" i="15"/>
  <c r="AC87" i="15"/>
  <c r="AO87" i="15"/>
  <c r="Q87" i="15"/>
  <c r="AR87" i="15"/>
  <c r="E87" i="15"/>
  <c r="S96" i="15"/>
  <c r="AB96" i="15"/>
  <c r="O6" i="15"/>
  <c r="BB6" i="15" s="1"/>
  <c r="R6" i="15"/>
  <c r="N6" i="15"/>
  <c r="BA6" i="15" s="1"/>
  <c r="AV14" i="15"/>
  <c r="AP14" i="15"/>
  <c r="AM14" i="15"/>
  <c r="BH14" i="15" s="1"/>
  <c r="AG14" i="15"/>
  <c r="AA14" i="15"/>
  <c r="BE14" i="15" s="1"/>
  <c r="AS13" i="15"/>
  <c r="AJ13" i="15"/>
  <c r="AS11" i="15"/>
  <c r="AV11" i="15"/>
  <c r="AP11" i="15"/>
  <c r="AJ11" i="15"/>
  <c r="AS10" i="15"/>
  <c r="AM10" i="15"/>
  <c r="BH10" i="15" s="1"/>
  <c r="AG10" i="15"/>
  <c r="AA10" i="15"/>
  <c r="BE10" i="15" s="1"/>
  <c r="AV9" i="15"/>
  <c r="AP9" i="15"/>
  <c r="AJ9" i="15"/>
  <c r="AS8" i="15"/>
  <c r="AM8" i="15"/>
  <c r="BH8" i="15" s="1"/>
  <c r="AG8" i="15"/>
  <c r="AA8" i="15"/>
  <c r="BE8" i="15" s="1"/>
  <c r="AS29" i="15"/>
  <c r="AJ29" i="15"/>
  <c r="AS27" i="15"/>
  <c r="AV27" i="15"/>
  <c r="AP27" i="15"/>
  <c r="AJ27" i="15"/>
  <c r="AS26" i="15"/>
  <c r="AM26" i="15"/>
  <c r="BH26" i="15" s="1"/>
  <c r="AG26" i="15"/>
  <c r="AA26" i="15"/>
  <c r="BE26" i="15" s="1"/>
  <c r="AV25" i="15"/>
  <c r="AP25" i="15"/>
  <c r="AJ25" i="15"/>
  <c r="AS24" i="15"/>
  <c r="AM24" i="15"/>
  <c r="BH24" i="15" s="1"/>
  <c r="AG24" i="15"/>
  <c r="AA24" i="15"/>
  <c r="BE24" i="15" s="1"/>
  <c r="AV22" i="15"/>
  <c r="AP22" i="15"/>
  <c r="AM22" i="15"/>
  <c r="BH22" i="15" s="1"/>
  <c r="AG22" i="15"/>
  <c r="AA22" i="15"/>
  <c r="BE22" i="15" s="1"/>
  <c r="AS21" i="15"/>
  <c r="AJ21" i="15"/>
  <c r="AS19" i="15"/>
  <c r="AV19" i="15"/>
  <c r="AP19" i="15"/>
  <c r="AJ19" i="15"/>
  <c r="AV17" i="15"/>
  <c r="AP17" i="15"/>
  <c r="AJ17" i="15"/>
  <c r="AA29" i="15"/>
  <c r="BE29" i="15" s="1"/>
  <c r="Z24" i="15"/>
  <c r="BD24" i="15" s="1"/>
  <c r="Z19" i="15"/>
  <c r="BD19" i="15" s="1"/>
  <c r="AA13" i="15"/>
  <c r="BE13" i="15" s="1"/>
  <c r="AD29" i="15"/>
  <c r="AD26" i="15"/>
  <c r="AD23" i="15"/>
  <c r="AD7" i="15"/>
  <c r="AG21" i="15"/>
  <c r="AG13" i="15"/>
  <c r="AJ22" i="15"/>
  <c r="AM13" i="15"/>
  <c r="BH13" i="15" s="1"/>
  <c r="AP29" i="15"/>
  <c r="AP24" i="15"/>
  <c r="AP13" i="15"/>
  <c r="AP8" i="15"/>
  <c r="AS15" i="15"/>
  <c r="AV29" i="15"/>
  <c r="AV24" i="15"/>
  <c r="AV13" i="15"/>
  <c r="AV8" i="15"/>
  <c r="H40" i="15"/>
  <c r="AC40" i="15"/>
  <c r="F40" i="15"/>
  <c r="AI40" i="15"/>
  <c r="N45" i="15"/>
  <c r="BA45" i="15" s="1"/>
  <c r="T47" i="15"/>
  <c r="AO47" i="15"/>
  <c r="AC47" i="15"/>
  <c r="H47" i="15"/>
  <c r="AI47" i="15"/>
  <c r="E47" i="15"/>
  <c r="Q47" i="15"/>
  <c r="F47" i="15"/>
  <c r="AR47" i="15"/>
  <c r="W47" i="15"/>
  <c r="K47" i="15"/>
  <c r="AU47" i="15"/>
  <c r="L47" i="15"/>
  <c r="AA47" i="15"/>
  <c r="BE47" i="15" s="1"/>
  <c r="U49" i="15"/>
  <c r="R49" i="15"/>
  <c r="AV64" i="15"/>
  <c r="AA64" i="15"/>
  <c r="BE64" i="15" s="1"/>
  <c r="AO67" i="15"/>
  <c r="AL54" i="15"/>
  <c r="BG54" i="15" s="1"/>
  <c r="AM54" i="15"/>
  <c r="BH54" i="15" s="1"/>
  <c r="AL50" i="15"/>
  <c r="BG50" i="15" s="1"/>
  <c r="AM50" i="15"/>
  <c r="BH50" i="15" s="1"/>
  <c r="AE96" i="15"/>
  <c r="AN96" i="15"/>
  <c r="AV6" i="15"/>
  <c r="AP6" i="15"/>
  <c r="AG6" i="15"/>
  <c r="Z6" i="15"/>
  <c r="BD6" i="15" s="1"/>
  <c r="O15" i="15"/>
  <c r="BB15" i="15" s="1"/>
  <c r="U15" i="15"/>
  <c r="O14" i="15"/>
  <c r="BB14" i="15" s="1"/>
  <c r="X14" i="15"/>
  <c r="R14" i="15"/>
  <c r="N14" i="15"/>
  <c r="BA14" i="15" s="1"/>
  <c r="U13" i="15"/>
  <c r="O12" i="15"/>
  <c r="BB12" i="15" s="1"/>
  <c r="X12" i="15"/>
  <c r="U11" i="15"/>
  <c r="O10" i="15"/>
  <c r="BB10" i="15" s="1"/>
  <c r="X10" i="15"/>
  <c r="R10" i="15"/>
  <c r="N10" i="15"/>
  <c r="BA10" i="15" s="1"/>
  <c r="O9" i="15"/>
  <c r="BB9" i="15" s="1"/>
  <c r="U9" i="15"/>
  <c r="O8" i="15"/>
  <c r="BB8" i="15" s="1"/>
  <c r="X8" i="15"/>
  <c r="O7" i="15"/>
  <c r="BB7" i="15" s="1"/>
  <c r="U7" i="15"/>
  <c r="O28" i="15"/>
  <c r="BB28" i="15" s="1"/>
  <c r="X28" i="15"/>
  <c r="U27" i="15"/>
  <c r="O26" i="15"/>
  <c r="BB26" i="15" s="1"/>
  <c r="X26" i="15"/>
  <c r="R26" i="15"/>
  <c r="N26" i="15"/>
  <c r="BA26" i="15" s="1"/>
  <c r="O25" i="15"/>
  <c r="BB25" i="15" s="1"/>
  <c r="U25" i="15"/>
  <c r="O24" i="15"/>
  <c r="BB24" i="15" s="1"/>
  <c r="X24" i="15"/>
  <c r="U23" i="15"/>
  <c r="X22" i="15"/>
  <c r="R22" i="15"/>
  <c r="N22" i="15"/>
  <c r="BA22" i="15" s="1"/>
  <c r="O21" i="15"/>
  <c r="BB21" i="15" s="1"/>
  <c r="U21" i="15"/>
  <c r="O20" i="15"/>
  <c r="BB20" i="15" s="1"/>
  <c r="X20" i="15"/>
  <c r="O19" i="15"/>
  <c r="BB19" i="15" s="1"/>
  <c r="U19" i="15"/>
  <c r="X18" i="15"/>
  <c r="R18" i="15"/>
  <c r="N18" i="15"/>
  <c r="BA18" i="15" s="1"/>
  <c r="U17" i="15"/>
  <c r="O16" i="15"/>
  <c r="BB16" i="15" s="1"/>
  <c r="X16" i="15"/>
  <c r="E27" i="15"/>
  <c r="E23" i="15"/>
  <c r="E19" i="15"/>
  <c r="E15" i="15"/>
  <c r="E11" i="15"/>
  <c r="E7" i="15"/>
  <c r="F28" i="15"/>
  <c r="F24" i="15"/>
  <c r="F20" i="15"/>
  <c r="F16" i="15"/>
  <c r="F12" i="15"/>
  <c r="F8" i="15"/>
  <c r="I29" i="15"/>
  <c r="I27" i="15"/>
  <c r="I23" i="15"/>
  <c r="I21" i="15"/>
  <c r="I19" i="15"/>
  <c r="I15" i="15"/>
  <c r="I13" i="15"/>
  <c r="I11" i="15"/>
  <c r="I7" i="15"/>
  <c r="L26" i="15"/>
  <c r="L24" i="15"/>
  <c r="L22" i="15"/>
  <c r="L20" i="15"/>
  <c r="L18" i="15"/>
  <c r="L16" i="15"/>
  <c r="L14" i="15"/>
  <c r="L10" i="15"/>
  <c r="L8" i="15"/>
  <c r="N27" i="15"/>
  <c r="BA27" i="15" s="1"/>
  <c r="N21" i="15"/>
  <c r="BA21" i="15" s="1"/>
  <c r="N16" i="15"/>
  <c r="BA16" i="15" s="1"/>
  <c r="N11" i="15"/>
  <c r="BA11" i="15" s="1"/>
  <c r="Q29" i="15"/>
  <c r="Q24" i="15"/>
  <c r="Q19" i="15"/>
  <c r="Q13" i="15"/>
  <c r="Q8" i="15"/>
  <c r="U29" i="15"/>
  <c r="U26" i="15"/>
  <c r="T21" i="15"/>
  <c r="U18" i="15"/>
  <c r="T13" i="15"/>
  <c r="U10" i="15"/>
  <c r="R24" i="15"/>
  <c r="R19" i="15"/>
  <c r="R13" i="15"/>
  <c r="R8" i="15"/>
  <c r="W29" i="15"/>
  <c r="W26" i="15"/>
  <c r="X23" i="15"/>
  <c r="W21" i="15"/>
  <c r="W18" i="15"/>
  <c r="X15" i="15"/>
  <c r="W13" i="15"/>
  <c r="W10" i="15"/>
  <c r="X7" i="15"/>
  <c r="Z29" i="15"/>
  <c r="BD29" i="15" s="1"/>
  <c r="Z26" i="15"/>
  <c r="BD26" i="15" s="1"/>
  <c r="AA23" i="15"/>
  <c r="BE23" i="15" s="1"/>
  <c r="Z21" i="15"/>
  <c r="BD21" i="15" s="1"/>
  <c r="Z18" i="15"/>
  <c r="BD18" i="15" s="1"/>
  <c r="AA15" i="15"/>
  <c r="BE15" i="15" s="1"/>
  <c r="Z13" i="15"/>
  <c r="BD13" i="15" s="1"/>
  <c r="Z10" i="15"/>
  <c r="BD10" i="15" s="1"/>
  <c r="AA7" i="15"/>
  <c r="BE7" i="15" s="1"/>
  <c r="AD25" i="15"/>
  <c r="AD17" i="15"/>
  <c r="AD9" i="15"/>
  <c r="AF26" i="15"/>
  <c r="AG23" i="15"/>
  <c r="AF21" i="15"/>
  <c r="AF18" i="15"/>
  <c r="AG15" i="15"/>
  <c r="AF13" i="15"/>
  <c r="AG7" i="15"/>
  <c r="AJ6" i="15"/>
  <c r="AI27" i="15"/>
  <c r="AJ24" i="15"/>
  <c r="AI19" i="15"/>
  <c r="AJ8" i="15"/>
  <c r="AM29" i="15"/>
  <c r="BH29" i="15" s="1"/>
  <c r="AM23" i="15"/>
  <c r="BH23" i="15" s="1"/>
  <c r="AL21" i="15"/>
  <c r="BG21" i="15" s="1"/>
  <c r="AM15" i="15"/>
  <c r="BH15" i="15" s="1"/>
  <c r="AL13" i="15"/>
  <c r="BG13" i="15" s="1"/>
  <c r="AM9" i="15"/>
  <c r="BH9" i="15" s="1"/>
  <c r="AO29" i="15"/>
  <c r="AP23" i="15"/>
  <c r="AP18" i="15"/>
  <c r="AO13" i="15"/>
  <c r="AP7" i="15"/>
  <c r="AS25" i="15"/>
  <c r="AS14" i="15"/>
  <c r="AS9" i="15"/>
  <c r="AV23" i="15"/>
  <c r="AU13" i="15"/>
  <c r="AV7" i="15"/>
  <c r="O22" i="15"/>
  <c r="BB22" i="15" s="1"/>
  <c r="O11" i="15"/>
  <c r="BB11" i="15" s="1"/>
  <c r="Q35" i="15"/>
  <c r="AX40" i="15"/>
  <c r="BJ40" i="15" s="1"/>
  <c r="AW59" i="15"/>
  <c r="AW105" i="15" s="1"/>
  <c r="AX105" i="15" s="1"/>
  <c r="BJ105" i="15" s="1"/>
  <c r="AP45" i="15"/>
  <c r="AA45" i="15"/>
  <c r="BE45" i="15" s="1"/>
  <c r="AJ45" i="15"/>
  <c r="AS45" i="15"/>
  <c r="AF47" i="15"/>
  <c r="T52" i="15"/>
  <c r="AR52" i="15"/>
  <c r="AF52" i="15"/>
  <c r="H52" i="15"/>
  <c r="AU52" i="15"/>
  <c r="AI52" i="15"/>
  <c r="E52" i="15"/>
  <c r="AL52" i="15"/>
  <c r="BG52" i="15" s="1"/>
  <c r="Z52" i="15"/>
  <c r="BD52" i="15" s="1"/>
  <c r="Q52" i="15"/>
  <c r="F52" i="15"/>
  <c r="AS52" i="15"/>
  <c r="L52" i="15"/>
  <c r="AA52" i="15"/>
  <c r="BE52" i="15" s="1"/>
  <c r="X52" i="15"/>
  <c r="W53" i="15"/>
  <c r="AS63" i="15"/>
  <c r="AM64" i="15"/>
  <c r="BH64" i="15" s="1"/>
  <c r="AX67" i="15"/>
  <c r="BJ67" i="15" s="1"/>
  <c r="N76" i="15"/>
  <c r="BA76" i="15" s="1"/>
  <c r="R76" i="15"/>
  <c r="AS76" i="15"/>
  <c r="AV77" i="15"/>
  <c r="Z77" i="15"/>
  <c r="BD77" i="15" s="1"/>
  <c r="AS77" i="15"/>
  <c r="AA77" i="15"/>
  <c r="BE77" i="15" s="1"/>
  <c r="AM77" i="15"/>
  <c r="BH77" i="15" s="1"/>
  <c r="AG48" i="15"/>
  <c r="U48" i="15"/>
  <c r="AU59" i="15"/>
  <c r="T67" i="15"/>
  <c r="AU67" i="15"/>
  <c r="L67" i="15"/>
  <c r="H67" i="15"/>
  <c r="AC67" i="15"/>
  <c r="F67" i="15"/>
  <c r="AI67" i="15"/>
  <c r="T80" i="15"/>
  <c r="AU80" i="15"/>
  <c r="AC80" i="15"/>
  <c r="W80" i="15"/>
  <c r="L80" i="15"/>
  <c r="E80" i="15"/>
  <c r="AI80" i="15"/>
  <c r="K80" i="15"/>
  <c r="AR80" i="15"/>
  <c r="AF80" i="15"/>
  <c r="H80" i="15"/>
  <c r="F80" i="15"/>
  <c r="AL80" i="15"/>
  <c r="BG80" i="15" s="1"/>
  <c r="Q80" i="15"/>
  <c r="AV12" i="15"/>
  <c r="AP12" i="15"/>
  <c r="AM12" i="15"/>
  <c r="BH12" i="15" s="1"/>
  <c r="AG12" i="15"/>
  <c r="AA12" i="15"/>
  <c r="BE12" i="15" s="1"/>
  <c r="AV28" i="15"/>
  <c r="AP28" i="15"/>
  <c r="AM28" i="15"/>
  <c r="BH28" i="15" s="1"/>
  <c r="AG28" i="15"/>
  <c r="AA28" i="15"/>
  <c r="BE28" i="15" s="1"/>
  <c r="AV20" i="15"/>
  <c r="AP20" i="15"/>
  <c r="AM20" i="15"/>
  <c r="BH20" i="15" s="1"/>
  <c r="AG20" i="15"/>
  <c r="AA20" i="15"/>
  <c r="BE20" i="15" s="1"/>
  <c r="AS18" i="15"/>
  <c r="AM18" i="15"/>
  <c r="BH18" i="15" s="1"/>
  <c r="AG18" i="15"/>
  <c r="AA18" i="15"/>
  <c r="BE18" i="15" s="1"/>
  <c r="AS16" i="15"/>
  <c r="AM16" i="15"/>
  <c r="BH16" i="15" s="1"/>
  <c r="AG16" i="15"/>
  <c r="AA16" i="15"/>
  <c r="BE16" i="15" s="1"/>
  <c r="Z27" i="15"/>
  <c r="BD27" i="15" s="1"/>
  <c r="AA21" i="15"/>
  <c r="BE21" i="15" s="1"/>
  <c r="Z16" i="15"/>
  <c r="BD16" i="15" s="1"/>
  <c r="Z11" i="15"/>
  <c r="BD11" i="15" s="1"/>
  <c r="Z8" i="15"/>
  <c r="BD8" i="15" s="1"/>
  <c r="AD18" i="15"/>
  <c r="AD15" i="15"/>
  <c r="AD10" i="15"/>
  <c r="AG29" i="15"/>
  <c r="AJ14" i="15"/>
  <c r="AM21" i="15"/>
  <c r="BH21" i="15" s="1"/>
  <c r="AS20" i="15"/>
  <c r="AQ96" i="15"/>
  <c r="AW94" i="15"/>
  <c r="AX6" i="15"/>
  <c r="BJ6" i="15" s="1"/>
  <c r="AR15" i="15"/>
  <c r="AU15" i="15"/>
  <c r="AO15" i="15"/>
  <c r="AU14" i="15"/>
  <c r="AO14" i="15"/>
  <c r="AR14" i="15"/>
  <c r="AC14" i="15"/>
  <c r="Q14" i="15"/>
  <c r="AU12" i="15"/>
  <c r="AO12" i="15"/>
  <c r="AC12" i="15"/>
  <c r="AR11" i="15"/>
  <c r="AL11" i="15"/>
  <c r="BG11" i="15" s="1"/>
  <c r="AU10" i="15"/>
  <c r="AO10" i="15"/>
  <c r="AC10" i="15"/>
  <c r="Q10" i="15"/>
  <c r="AR9" i="15"/>
  <c r="AL9" i="15"/>
  <c r="BG9" i="15" s="1"/>
  <c r="AU9" i="15"/>
  <c r="AO9" i="15"/>
  <c r="AU8" i="15"/>
  <c r="AO8" i="15"/>
  <c r="AR8" i="15"/>
  <c r="AL8" i="15"/>
  <c r="BG8" i="15" s="1"/>
  <c r="AC8" i="15"/>
  <c r="AR7" i="15"/>
  <c r="AL7" i="15"/>
  <c r="BG7" i="15" s="1"/>
  <c r="AU7" i="15"/>
  <c r="AO7" i="15"/>
  <c r="AR29" i="15"/>
  <c r="T29" i="15"/>
  <c r="AU28" i="15"/>
  <c r="AO28" i="15"/>
  <c r="AC28" i="15"/>
  <c r="AU26" i="15"/>
  <c r="AO26" i="15"/>
  <c r="AC26" i="15"/>
  <c r="Q26" i="15"/>
  <c r="AR25" i="15"/>
  <c r="AU25" i="15"/>
  <c r="AO25" i="15"/>
  <c r="AU24" i="15"/>
  <c r="AO24" i="15"/>
  <c r="AR24" i="15"/>
  <c r="AC24" i="15"/>
  <c r="AR23" i="15"/>
  <c r="AU23" i="15"/>
  <c r="AO23" i="15"/>
  <c r="AU22" i="15"/>
  <c r="AO22" i="15"/>
  <c r="AR22" i="15"/>
  <c r="AC22" i="15"/>
  <c r="Q22" i="15"/>
  <c r="AU20" i="15"/>
  <c r="AO20" i="15"/>
  <c r="AC20" i="15"/>
  <c r="AU18" i="15"/>
  <c r="AO18" i="15"/>
  <c r="AC18" i="15"/>
  <c r="Q18" i="15"/>
  <c r="AR17" i="15"/>
  <c r="AU17" i="15"/>
  <c r="AO17" i="15"/>
  <c r="AU16" i="15"/>
  <c r="AO16" i="15"/>
  <c r="AR16" i="15"/>
  <c r="AC16" i="15"/>
  <c r="E26" i="15"/>
  <c r="E22" i="15"/>
  <c r="E18" i="15"/>
  <c r="E14" i="15"/>
  <c r="E10" i="15"/>
  <c r="F27" i="15"/>
  <c r="F23" i="15"/>
  <c r="F19" i="15"/>
  <c r="F15" i="15"/>
  <c r="F11" i="15"/>
  <c r="F7" i="15"/>
  <c r="H29" i="15"/>
  <c r="H27" i="15"/>
  <c r="H25" i="15"/>
  <c r="H23" i="15"/>
  <c r="H21" i="15"/>
  <c r="H19" i="15"/>
  <c r="H17" i="15"/>
  <c r="H15" i="15"/>
  <c r="H13" i="15"/>
  <c r="H11" i="15"/>
  <c r="H9" i="15"/>
  <c r="H7" i="15"/>
  <c r="K28" i="15"/>
  <c r="K26" i="15"/>
  <c r="K24" i="15"/>
  <c r="K22" i="15"/>
  <c r="K20" i="15"/>
  <c r="K18" i="15"/>
  <c r="K16" i="15"/>
  <c r="K14" i="15"/>
  <c r="K12" i="15"/>
  <c r="K10" i="15"/>
  <c r="K8" i="15"/>
  <c r="N25" i="15"/>
  <c r="BA25" i="15" s="1"/>
  <c r="N20" i="15"/>
  <c r="BA20" i="15" s="1"/>
  <c r="N15" i="15"/>
  <c r="BA15" i="15" s="1"/>
  <c r="N9" i="15"/>
  <c r="BA9" i="15" s="1"/>
  <c r="Q28" i="15"/>
  <c r="Q23" i="15"/>
  <c r="Q17" i="15"/>
  <c r="Q12" i="15"/>
  <c r="Q7" i="15"/>
  <c r="U28" i="15"/>
  <c r="T26" i="15"/>
  <c r="T23" i="15"/>
  <c r="U20" i="15"/>
  <c r="T18" i="15"/>
  <c r="T15" i="15"/>
  <c r="U12" i="15"/>
  <c r="T10" i="15"/>
  <c r="T7" i="15"/>
  <c r="R28" i="15"/>
  <c r="R23" i="15"/>
  <c r="R17" i="15"/>
  <c r="R12" i="15"/>
  <c r="R7" i="15"/>
  <c r="W28" i="15"/>
  <c r="X25" i="15"/>
  <c r="W23" i="15"/>
  <c r="W20" i="15"/>
  <c r="X17" i="15"/>
  <c r="W15" i="15"/>
  <c r="W12" i="15"/>
  <c r="X9" i="15"/>
  <c r="W7" i="15"/>
  <c r="Z28" i="15"/>
  <c r="BD28" i="15" s="1"/>
  <c r="AA25" i="15"/>
  <c r="BE25" i="15" s="1"/>
  <c r="Z23" i="15"/>
  <c r="BD23" i="15" s="1"/>
  <c r="Z20" i="15"/>
  <c r="BD20" i="15" s="1"/>
  <c r="AA17" i="15"/>
  <c r="BE17" i="15" s="1"/>
  <c r="Z15" i="15"/>
  <c r="BD15" i="15" s="1"/>
  <c r="Z12" i="15"/>
  <c r="BD12" i="15" s="1"/>
  <c r="AA9" i="15"/>
  <c r="BE9" i="15" s="1"/>
  <c r="Z7" i="15"/>
  <c r="BD7" i="15" s="1"/>
  <c r="AD27" i="15"/>
  <c r="AC25" i="15"/>
  <c r="AD22" i="15"/>
  <c r="AD19" i="15"/>
  <c r="AC17" i="15"/>
  <c r="AD14" i="15"/>
  <c r="AD11" i="15"/>
  <c r="AC9" i="15"/>
  <c r="AD6" i="15"/>
  <c r="AF28" i="15"/>
  <c r="AG25" i="15"/>
  <c r="AF23" i="15"/>
  <c r="AF20" i="15"/>
  <c r="AG17" i="15"/>
  <c r="AF15" i="15"/>
  <c r="AF12" i="15"/>
  <c r="AG9" i="15"/>
  <c r="AF7" i="15"/>
  <c r="AI29" i="15"/>
  <c r="AJ26" i="15"/>
  <c r="AI24" i="15"/>
  <c r="AI21" i="15"/>
  <c r="AJ18" i="15"/>
  <c r="AI16" i="15"/>
  <c r="AI13" i="15"/>
  <c r="AJ10" i="15"/>
  <c r="AI8" i="15"/>
  <c r="AL28" i="15"/>
  <c r="BG28" i="15" s="1"/>
  <c r="AM25" i="15"/>
  <c r="BH25" i="15" s="1"/>
  <c r="AL23" i="15"/>
  <c r="BG23" i="15" s="1"/>
  <c r="AL20" i="15"/>
  <c r="BG20" i="15" s="1"/>
  <c r="AM17" i="15"/>
  <c r="BH17" i="15" s="1"/>
  <c r="AL15" i="15"/>
  <c r="BG15" i="15" s="1"/>
  <c r="AL12" i="15"/>
  <c r="BG12" i="15" s="1"/>
  <c r="AM7" i="15"/>
  <c r="BH7" i="15" s="1"/>
  <c r="AO27" i="15"/>
  <c r="AP21" i="15"/>
  <c r="AP16" i="15"/>
  <c r="AO11" i="15"/>
  <c r="AS28" i="15"/>
  <c r="AS23" i="15"/>
  <c r="AR18" i="15"/>
  <c r="AS12" i="15"/>
  <c r="AS7" i="15"/>
  <c r="AU27" i="15"/>
  <c r="AV21" i="15"/>
  <c r="AV16" i="15"/>
  <c r="AU11" i="15"/>
  <c r="O29" i="15"/>
  <c r="BB29" i="15" s="1"/>
  <c r="O18" i="15"/>
  <c r="BB18" i="15" s="1"/>
  <c r="T35" i="15"/>
  <c r="AU35" i="15"/>
  <c r="AF35" i="15"/>
  <c r="L35" i="15"/>
  <c r="E35" i="15"/>
  <c r="AO35" i="15"/>
  <c r="F35" i="15"/>
  <c r="AX35" i="15"/>
  <c r="BJ35" i="15" s="1"/>
  <c r="AL35" i="15"/>
  <c r="BG35" i="15" s="1"/>
  <c r="K35" i="15"/>
  <c r="AR35" i="15"/>
  <c r="AA35" i="15"/>
  <c r="BE35" i="15" s="1"/>
  <c r="W35" i="15"/>
  <c r="AS35" i="15"/>
  <c r="T40" i="15"/>
  <c r="AS41" i="15"/>
  <c r="AA41" i="15"/>
  <c r="BE41" i="15" s="1"/>
  <c r="AC45" i="15"/>
  <c r="R47" i="15"/>
  <c r="N51" i="15"/>
  <c r="BA51" i="15" s="1"/>
  <c r="X51" i="15"/>
  <c r="O51" i="15"/>
  <c r="BB51" i="15" s="1"/>
  <c r="R51" i="15"/>
  <c r="AM51" i="15"/>
  <c r="BH51" i="15" s="1"/>
  <c r="W67" i="15"/>
  <c r="AV73" i="15"/>
  <c r="AM73" i="15"/>
  <c r="BH73" i="15" s="1"/>
  <c r="AS73" i="15"/>
  <c r="AA73" i="15"/>
  <c r="BE73" i="15" s="1"/>
  <c r="Z73" i="15"/>
  <c r="BD73" i="15" s="1"/>
  <c r="AO80" i="15"/>
  <c r="Z87" i="15"/>
  <c r="BD87" i="15" s="1"/>
  <c r="AU36" i="15"/>
  <c r="T36" i="15"/>
  <c r="L36" i="15"/>
  <c r="E36" i="15"/>
  <c r="F36" i="15"/>
  <c r="Q36" i="15"/>
  <c r="AO36" i="15"/>
  <c r="AI43" i="15"/>
  <c r="T43" i="15"/>
  <c r="AU43" i="15"/>
  <c r="Q43" i="15"/>
  <c r="F43" i="15"/>
  <c r="W43" i="15"/>
  <c r="H43" i="15"/>
  <c r="AC43" i="15"/>
  <c r="AM47" i="15"/>
  <c r="BH47" i="15" s="1"/>
  <c r="Z54" i="15"/>
  <c r="BD54" i="15" s="1"/>
  <c r="T55" i="15"/>
  <c r="AO55" i="15"/>
  <c r="AC55" i="15"/>
  <c r="H55" i="15"/>
  <c r="AI55" i="15"/>
  <c r="E55" i="15"/>
  <c r="Q55" i="15"/>
  <c r="F55" i="15"/>
  <c r="R55" i="15"/>
  <c r="AF55" i="15"/>
  <c r="N56" i="15"/>
  <c r="BA56" i="15" s="1"/>
  <c r="O56" i="15"/>
  <c r="BB56" i="15" s="1"/>
  <c r="AA56" i="15"/>
  <c r="BE56" i="15" s="1"/>
  <c r="AS56" i="15"/>
  <c r="X56" i="15"/>
  <c r="R65" i="15"/>
  <c r="AM65" i="15"/>
  <c r="BH65" i="15" s="1"/>
  <c r="H68" i="15"/>
  <c r="T79" i="15"/>
  <c r="AR79" i="15"/>
  <c r="AF79" i="15"/>
  <c r="W79" i="15"/>
  <c r="L79" i="15"/>
  <c r="E79" i="15"/>
  <c r="AI79" i="15"/>
  <c r="H79" i="15"/>
  <c r="AU79" i="15"/>
  <c r="AC79" i="15"/>
  <c r="Q79" i="15"/>
  <c r="F79" i="15"/>
  <c r="AL79" i="15"/>
  <c r="BG79" i="15" s="1"/>
  <c r="K79" i="15"/>
  <c r="AO79" i="15"/>
  <c r="AV80" i="15"/>
  <c r="AM80" i="15"/>
  <c r="BH80" i="15" s="1"/>
  <c r="AS80" i="15"/>
  <c r="Z80" i="15"/>
  <c r="BD80" i="15" s="1"/>
  <c r="T89" i="15"/>
  <c r="AR89" i="15"/>
  <c r="AI89" i="15"/>
  <c r="L89" i="15"/>
  <c r="E89" i="15"/>
  <c r="AC89" i="15"/>
  <c r="AO89" i="15"/>
  <c r="AF89" i="15"/>
  <c r="W89" i="15"/>
  <c r="K89" i="15"/>
  <c r="AU89" i="15"/>
  <c r="Z89" i="15"/>
  <c r="BD89" i="15" s="1"/>
  <c r="H89" i="15"/>
  <c r="AG89" i="15"/>
  <c r="AL89" i="15"/>
  <c r="BG89" i="15" s="1"/>
  <c r="O89" i="15"/>
  <c r="BB89" i="15" s="1"/>
  <c r="AG35" i="15"/>
  <c r="N37" i="15"/>
  <c r="BA37" i="15" s="1"/>
  <c r="N38" i="15"/>
  <c r="BA38" i="15" s="1"/>
  <c r="T49" i="15"/>
  <c r="AU49" i="15"/>
  <c r="AI49" i="15"/>
  <c r="L49" i="15"/>
  <c r="E49" i="15"/>
  <c r="AO49" i="15"/>
  <c r="AC49" i="15"/>
  <c r="H49" i="15"/>
  <c r="AR49" i="15"/>
  <c r="AF49" i="15"/>
  <c r="W49" i="15"/>
  <c r="K49" i="15"/>
  <c r="AA49" i="15"/>
  <c r="BE49" i="15" s="1"/>
  <c r="AA51" i="15"/>
  <c r="BE51" i="15" s="1"/>
  <c r="Z53" i="15"/>
  <c r="BD53" i="15" s="1"/>
  <c r="T54" i="15"/>
  <c r="Q54" i="15"/>
  <c r="H54" i="15"/>
  <c r="AR54" i="15"/>
  <c r="AC54" i="15"/>
  <c r="E54" i="15"/>
  <c r="AU54" i="15"/>
  <c r="AF54" i="15"/>
  <c r="F54" i="15"/>
  <c r="W54" i="15"/>
  <c r="R63" i="15"/>
  <c r="X63" i="15"/>
  <c r="N63" i="15"/>
  <c r="BA63" i="15" s="1"/>
  <c r="AY63" i="15"/>
  <c r="BK63" i="15" s="1"/>
  <c r="AX63" i="15"/>
  <c r="BJ63" i="15" s="1"/>
  <c r="T65" i="15"/>
  <c r="AU65" i="15"/>
  <c r="AC65" i="15"/>
  <c r="H65" i="15"/>
  <c r="W65" i="15"/>
  <c r="F65" i="15"/>
  <c r="AO65" i="15"/>
  <c r="L65" i="15"/>
  <c r="AA65" i="15"/>
  <c r="BE65" i="15" s="1"/>
  <c r="T68" i="15"/>
  <c r="AO68" i="15"/>
  <c r="Q68" i="15"/>
  <c r="F68" i="15"/>
  <c r="AU68" i="15"/>
  <c r="L68" i="15"/>
  <c r="AC68" i="15"/>
  <c r="W68" i="15"/>
  <c r="AA74" i="15"/>
  <c r="BE74" i="15" s="1"/>
  <c r="O74" i="15"/>
  <c r="BB74" i="15" s="1"/>
  <c r="U35" i="15"/>
  <c r="Z35" i="15"/>
  <c r="BD35" i="15" s="1"/>
  <c r="N36" i="15"/>
  <c r="BA36" i="15" s="1"/>
  <c r="Z36" i="15"/>
  <c r="BD36" i="15" s="1"/>
  <c r="AP40" i="15"/>
  <c r="W41" i="15"/>
  <c r="AI41" i="15"/>
  <c r="F42" i="15"/>
  <c r="Q42" i="15"/>
  <c r="AC42" i="15"/>
  <c r="AU46" i="15"/>
  <c r="W46" i="15"/>
  <c r="I46" i="15"/>
  <c r="Q46" i="15"/>
  <c r="AI46" i="15"/>
  <c r="Z47" i="15"/>
  <c r="BD47" i="15" s="1"/>
  <c r="T48" i="15"/>
  <c r="AU48" i="15"/>
  <c r="AI48" i="15"/>
  <c r="Q48" i="15"/>
  <c r="H48" i="15"/>
  <c r="L48" i="15"/>
  <c r="Z48" i="15"/>
  <c r="BD48" i="15" s="1"/>
  <c r="AL48" i="15"/>
  <c r="BG48" i="15" s="1"/>
  <c r="F50" i="15"/>
  <c r="Q50" i="15"/>
  <c r="T51" i="15"/>
  <c r="AO51" i="15"/>
  <c r="AC51" i="15"/>
  <c r="H51" i="15"/>
  <c r="L51" i="15"/>
  <c r="W51" i="15"/>
  <c r="AF51" i="15"/>
  <c r="AU51" i="15"/>
  <c r="AX52" i="15"/>
  <c r="BJ52" i="15" s="1"/>
  <c r="Z55" i="15"/>
  <c r="BD55" i="15" s="1"/>
  <c r="T56" i="15"/>
  <c r="AR56" i="15"/>
  <c r="AF56" i="15"/>
  <c r="H56" i="15"/>
  <c r="L56" i="15"/>
  <c r="AC56" i="15"/>
  <c r="T57" i="15"/>
  <c r="AU57" i="15"/>
  <c r="AI57" i="15"/>
  <c r="F57" i="15"/>
  <c r="L57" i="15"/>
  <c r="W57" i="15"/>
  <c r="AF57" i="15"/>
  <c r="AY57" i="15"/>
  <c r="BK57" i="15" s="1"/>
  <c r="AR59" i="15"/>
  <c r="H63" i="15"/>
  <c r="T64" i="15"/>
  <c r="AI64" i="15"/>
  <c r="W64" i="15"/>
  <c r="L64" i="15"/>
  <c r="Q64" i="15"/>
  <c r="AC64" i="15"/>
  <c r="AV65" i="15"/>
  <c r="AX66" i="15"/>
  <c r="BJ66" i="15" s="1"/>
  <c r="AY67" i="15"/>
  <c r="BK67" i="15" s="1"/>
  <c r="T71" i="15"/>
  <c r="AO71" i="15"/>
  <c r="W71" i="15"/>
  <c r="H71" i="15"/>
  <c r="AI71" i="15"/>
  <c r="Q71" i="15"/>
  <c r="F71" i="15"/>
  <c r="AC71" i="15"/>
  <c r="E73" i="15"/>
  <c r="Q73" i="15"/>
  <c r="AY73" i="15"/>
  <c r="BK73" i="15" s="1"/>
  <c r="K76" i="15"/>
  <c r="U79" i="15"/>
  <c r="N80" i="15"/>
  <c r="BA80" i="15" s="1"/>
  <c r="X80" i="15"/>
  <c r="R80" i="15"/>
  <c r="T84" i="15"/>
  <c r="AL84" i="15"/>
  <c r="BG84" i="15" s="1"/>
  <c r="AC84" i="15"/>
  <c r="W84" i="15"/>
  <c r="F84" i="15"/>
  <c r="AU84" i="15"/>
  <c r="AI84" i="15"/>
  <c r="O84" i="15"/>
  <c r="BB84" i="15" s="1"/>
  <c r="H84" i="15"/>
  <c r="L84" i="15"/>
  <c r="U84" i="15"/>
  <c r="K84" i="15"/>
  <c r="AG84" i="15"/>
  <c r="AR84" i="15"/>
  <c r="E88" i="15"/>
  <c r="AV35" i="15"/>
  <c r="AM35" i="15"/>
  <c r="BH35" i="15" s="1"/>
  <c r="AS37" i="15"/>
  <c r="AJ39" i="15"/>
  <c r="AJ42" i="15"/>
  <c r="AX45" i="15"/>
  <c r="BJ45" i="15" s="1"/>
  <c r="N47" i="15"/>
  <c r="BA47" i="15" s="1"/>
  <c r="X47" i="15"/>
  <c r="O47" i="15"/>
  <c r="BB47" i="15" s="1"/>
  <c r="AX47" i="15"/>
  <c r="BJ47" i="15" s="1"/>
  <c r="AY48" i="15"/>
  <c r="BK48" i="15" s="1"/>
  <c r="T50" i="15"/>
  <c r="AC50" i="15"/>
  <c r="W50" i="15"/>
  <c r="L50" i="15"/>
  <c r="E50" i="15"/>
  <c r="U50" i="15"/>
  <c r="AV50" i="15"/>
  <c r="AI50" i="15"/>
  <c r="N52" i="15"/>
  <c r="BA52" i="15" s="1"/>
  <c r="O52" i="15"/>
  <c r="BB52" i="15" s="1"/>
  <c r="N55" i="15"/>
  <c r="BA55" i="15" s="1"/>
  <c r="X55" i="15"/>
  <c r="O55" i="15"/>
  <c r="BB55" i="15" s="1"/>
  <c r="AX55" i="15"/>
  <c r="BJ55" i="15" s="1"/>
  <c r="AO63" i="15"/>
  <c r="F63" i="15"/>
  <c r="Q63" i="15"/>
  <c r="AC63" i="15"/>
  <c r="T66" i="15"/>
  <c r="AI66" i="15"/>
  <c r="Q66" i="15"/>
  <c r="F66" i="15"/>
  <c r="W66" i="15"/>
  <c r="AU66" i="15"/>
  <c r="AV68" i="15"/>
  <c r="AA68" i="15"/>
  <c r="BE68" i="15" s="1"/>
  <c r="T73" i="15"/>
  <c r="AU73" i="15"/>
  <c r="AC73" i="15"/>
  <c r="X73" i="15"/>
  <c r="O73" i="15"/>
  <c r="BB73" i="15" s="1"/>
  <c r="H73" i="15"/>
  <c r="AL73" i="15"/>
  <c r="BG73" i="15" s="1"/>
  <c r="W73" i="15"/>
  <c r="F73" i="15"/>
  <c r="AR73" i="15"/>
  <c r="T76" i="15"/>
  <c r="AU76" i="15"/>
  <c r="AC76" i="15"/>
  <c r="W76" i="15"/>
  <c r="L76" i="15"/>
  <c r="E76" i="15"/>
  <c r="AR76" i="15"/>
  <c r="AF76" i="15"/>
  <c r="H76" i="15"/>
  <c r="AO76" i="15"/>
  <c r="Q76" i="15"/>
  <c r="F76" i="15"/>
  <c r="AV76" i="15"/>
  <c r="AM76" i="15"/>
  <c r="BH76" i="15" s="1"/>
  <c r="Z76" i="15"/>
  <c r="BD76" i="15" s="1"/>
  <c r="AX76" i="15"/>
  <c r="BJ76" i="15" s="1"/>
  <c r="AY76" i="15"/>
  <c r="BK76" i="15" s="1"/>
  <c r="AX77" i="15"/>
  <c r="BJ77" i="15" s="1"/>
  <c r="AY77" i="15"/>
  <c r="BK77" i="15" s="1"/>
  <c r="AV85" i="15"/>
  <c r="AA85" i="15"/>
  <c r="BE85" i="15" s="1"/>
  <c r="AM85" i="15"/>
  <c r="BH85" i="15" s="1"/>
  <c r="AS85" i="15"/>
  <c r="Z85" i="15"/>
  <c r="BD85" i="15" s="1"/>
  <c r="X87" i="15"/>
  <c r="O87" i="15"/>
  <c r="BB87" i="15" s="1"/>
  <c r="AA87" i="15"/>
  <c r="BE87" i="15" s="1"/>
  <c r="U87" i="15"/>
  <c r="AS87" i="15"/>
  <c r="AG87" i="15"/>
  <c r="T88" i="15"/>
  <c r="AL88" i="15"/>
  <c r="BG88" i="15" s="1"/>
  <c r="AC88" i="15"/>
  <c r="W88" i="15"/>
  <c r="F88" i="15"/>
  <c r="Q88" i="15"/>
  <c r="K88" i="15"/>
  <c r="AI88" i="15"/>
  <c r="L88" i="15"/>
  <c r="AU88" i="15"/>
  <c r="U88" i="15"/>
  <c r="H88" i="15"/>
  <c r="AG88" i="15"/>
  <c r="AR88" i="15"/>
  <c r="AS44" i="15"/>
  <c r="W44" i="15"/>
  <c r="AV69" i="15"/>
  <c r="AM69" i="15"/>
  <c r="BH69" i="15" s="1"/>
  <c r="L70" i="15"/>
  <c r="AU70" i="15"/>
  <c r="L72" i="15"/>
  <c r="W72" i="15"/>
  <c r="AI72" i="15"/>
  <c r="AX72" i="15"/>
  <c r="BJ72" i="15" s="1"/>
  <c r="N73" i="15"/>
  <c r="BA73" i="15" s="1"/>
  <c r="H74" i="15"/>
  <c r="AO74" i="15"/>
  <c r="K75" i="15"/>
  <c r="R75" i="15"/>
  <c r="AC75" i="15"/>
  <c r="K77" i="15"/>
  <c r="W77" i="15"/>
  <c r="AC77" i="15"/>
  <c r="K78" i="15"/>
  <c r="U78" i="15"/>
  <c r="AA78" i="15"/>
  <c r="BE78" i="15" s="1"/>
  <c r="T81" i="15"/>
  <c r="AR81" i="15"/>
  <c r="AI81" i="15"/>
  <c r="L81" i="15"/>
  <c r="AF81" i="15"/>
  <c r="E81" i="15"/>
  <c r="AV81" i="15"/>
  <c r="Z81" i="15"/>
  <c r="BD81" i="15" s="1"/>
  <c r="AS81" i="15"/>
  <c r="AM81" i="15"/>
  <c r="BH81" i="15" s="1"/>
  <c r="T82" i="15"/>
  <c r="AU82" i="15"/>
  <c r="AF82" i="15"/>
  <c r="H82" i="15"/>
  <c r="AR82" i="15"/>
  <c r="E82" i="15"/>
  <c r="AI82" i="15"/>
  <c r="AV83" i="15"/>
  <c r="X85" i="15"/>
  <c r="U85" i="15"/>
  <c r="AV86" i="15"/>
  <c r="AG86" i="15"/>
  <c r="Z86" i="15"/>
  <c r="BD86" i="15" s="1"/>
  <c r="AM86" i="15"/>
  <c r="BH86" i="15" s="1"/>
  <c r="AV89" i="15"/>
  <c r="AA89" i="15"/>
  <c r="BE89" i="15" s="1"/>
  <c r="AM89" i="15"/>
  <c r="BH89" i="15" s="1"/>
  <c r="AS89" i="15"/>
  <c r="X90" i="15"/>
  <c r="U90" i="15"/>
  <c r="AS90" i="15"/>
  <c r="AM90" i="15"/>
  <c r="BH90" i="15" s="1"/>
  <c r="X91" i="15"/>
  <c r="AG91" i="15"/>
  <c r="O91" i="15"/>
  <c r="BB91" i="15" s="1"/>
  <c r="AS91" i="15"/>
  <c r="U91" i="15"/>
  <c r="Q92" i="15"/>
  <c r="AV93" i="15"/>
  <c r="AS93" i="15"/>
  <c r="AA93" i="15"/>
  <c r="BE93" i="15" s="1"/>
  <c r="Z93" i="15"/>
  <c r="BD93" i="15" s="1"/>
  <c r="AY93" i="15"/>
  <c r="BK93" i="15" s="1"/>
  <c r="AM70" i="15"/>
  <c r="BH70" i="15" s="1"/>
  <c r="AC70" i="15"/>
  <c r="Z72" i="15"/>
  <c r="BD72" i="15" s="1"/>
  <c r="AM72" i="15"/>
  <c r="BH72" i="15" s="1"/>
  <c r="AY72" i="15"/>
  <c r="BK72" i="15" s="1"/>
  <c r="T74" i="15"/>
  <c r="AL74" i="15"/>
  <c r="BG74" i="15" s="1"/>
  <c r="AC74" i="15"/>
  <c r="K74" i="15"/>
  <c r="Q74" i="15"/>
  <c r="AF74" i="15"/>
  <c r="AR74" i="15"/>
  <c r="T75" i="15"/>
  <c r="AR75" i="15"/>
  <c r="F75" i="15"/>
  <c r="L75" i="15"/>
  <c r="W75" i="15"/>
  <c r="AF75" i="15"/>
  <c r="AU75" i="15"/>
  <c r="T77" i="15"/>
  <c r="AR77" i="15"/>
  <c r="AI77" i="15"/>
  <c r="L77" i="15"/>
  <c r="E77" i="15"/>
  <c r="N77" i="15"/>
  <c r="BA77" i="15" s="1"/>
  <c r="R77" i="15"/>
  <c r="X77" i="15"/>
  <c r="AF77" i="15"/>
  <c r="T78" i="15"/>
  <c r="AR78" i="15"/>
  <c r="AF78" i="15"/>
  <c r="F78" i="15"/>
  <c r="L78" i="15"/>
  <c r="W78" i="15"/>
  <c r="AC78" i="15"/>
  <c r="AU78" i="15"/>
  <c r="T83" i="15"/>
  <c r="AU83" i="15"/>
  <c r="AF83" i="15"/>
  <c r="H83" i="15"/>
  <c r="AX83" i="15"/>
  <c r="BJ83" i="15" s="1"/>
  <c r="AV84" i="15"/>
  <c r="AS84" i="15"/>
  <c r="Z84" i="15"/>
  <c r="BD84" i="15" s="1"/>
  <c r="AM84" i="15"/>
  <c r="BH84" i="15" s="1"/>
  <c r="T85" i="15"/>
  <c r="AR85" i="15"/>
  <c r="AI85" i="15"/>
  <c r="L85" i="15"/>
  <c r="E85" i="15"/>
  <c r="AC85" i="15"/>
  <c r="Q85" i="15"/>
  <c r="H85" i="15"/>
  <c r="O85" i="15"/>
  <c r="BB85" i="15" s="1"/>
  <c r="AF85" i="15"/>
  <c r="X86" i="15"/>
  <c r="U86" i="15"/>
  <c r="AA86" i="15"/>
  <c r="BE86" i="15" s="1"/>
  <c r="AV88" i="15"/>
  <c r="AS88" i="15"/>
  <c r="AM88" i="15"/>
  <c r="BH88" i="15" s="1"/>
  <c r="AA88" i="15"/>
  <c r="BE88" i="15" s="1"/>
  <c r="X89" i="15"/>
  <c r="U89" i="15"/>
  <c r="T92" i="15"/>
  <c r="AU92" i="15"/>
  <c r="AF92" i="15"/>
  <c r="O92" i="15"/>
  <c r="BB92" i="15" s="1"/>
  <c r="H92" i="15"/>
  <c r="AL92" i="15"/>
  <c r="BG92" i="15" s="1"/>
  <c r="AC92" i="15"/>
  <c r="W92" i="15"/>
  <c r="F92" i="15"/>
  <c r="AG92" i="15"/>
  <c r="U92" i="15"/>
  <c r="K92" i="15"/>
  <c r="AI92" i="15"/>
  <c r="L92" i="15"/>
  <c r="AR92" i="15"/>
  <c r="U75" i="15"/>
  <c r="AV75" i="15"/>
  <c r="AG75" i="15"/>
  <c r="N81" i="15"/>
  <c r="BA81" i="15" s="1"/>
  <c r="R81" i="15"/>
  <c r="X81" i="15"/>
  <c r="X82" i="15"/>
  <c r="O82" i="15"/>
  <c r="BB82" i="15" s="1"/>
  <c r="AG82" i="15"/>
  <c r="AY85" i="15"/>
  <c r="BK85" i="15" s="1"/>
  <c r="AY87" i="15"/>
  <c r="BK87" i="15" s="1"/>
  <c r="AY88" i="15"/>
  <c r="BK88" i="15" s="1"/>
  <c r="AV90" i="15"/>
  <c r="AA90" i="15"/>
  <c r="BE90" i="15" s="1"/>
  <c r="AG90" i="15"/>
  <c r="Z90" i="15"/>
  <c r="BD90" i="15" s="1"/>
  <c r="AS92" i="15"/>
  <c r="T93" i="15"/>
  <c r="AL93" i="15"/>
  <c r="BG93" i="15" s="1"/>
  <c r="AC93" i="15"/>
  <c r="W93" i="15"/>
  <c r="F93" i="15"/>
  <c r="AR93" i="15"/>
  <c r="AI93" i="15"/>
  <c r="L93" i="15"/>
  <c r="E93" i="15"/>
  <c r="O93" i="15"/>
  <c r="BB93" i="15" s="1"/>
  <c r="AF93" i="15"/>
  <c r="AU93" i="15"/>
  <c r="J96" i="15"/>
  <c r="AY55" i="15"/>
  <c r="BK55" i="15" s="1"/>
  <c r="AY51" i="15"/>
  <c r="BK51" i="15" s="1"/>
  <c r="AY47" i="15"/>
  <c r="BK47" i="15" s="1"/>
  <c r="AY89" i="15"/>
  <c r="BK89" i="15" s="1"/>
  <c r="AY92" i="15"/>
  <c r="BK92" i="15" s="1"/>
  <c r="V96" i="15"/>
  <c r="AV82" i="15"/>
  <c r="AM82" i="15"/>
  <c r="BH82" i="15" s="1"/>
  <c r="X84" i="15"/>
  <c r="K86" i="15"/>
  <c r="Q86" i="15"/>
  <c r="AO86" i="15"/>
  <c r="AY86" i="15"/>
  <c r="BK86" i="15" s="1"/>
  <c r="AV87" i="15"/>
  <c r="AM87" i="15"/>
  <c r="BH87" i="15" s="1"/>
  <c r="X88" i="15"/>
  <c r="K90" i="15"/>
  <c r="Q90" i="15"/>
  <c r="AO90" i="15"/>
  <c r="AY90" i="15"/>
  <c r="BK90" i="15" s="1"/>
  <c r="H91" i="15"/>
  <c r="AV91" i="15"/>
  <c r="AF91" i="15"/>
  <c r="AM91" i="15"/>
  <c r="BH91" i="15" s="1"/>
  <c r="AU91" i="15"/>
  <c r="X92" i="15"/>
  <c r="E95" i="15"/>
  <c r="H95" i="15"/>
  <c r="K95" i="15"/>
  <c r="Q95" i="15"/>
  <c r="W95" i="15"/>
  <c r="AI95" i="15"/>
  <c r="AL95" i="15"/>
  <c r="BG95" i="15" s="1"/>
  <c r="K91" i="15"/>
  <c r="Q91" i="15"/>
  <c r="Z91" i="15"/>
  <c r="BD91" i="15" s="1"/>
  <c r="AO91" i="15"/>
  <c r="AY91" i="15"/>
  <c r="BK91" i="15" s="1"/>
  <c r="AV92" i="15"/>
  <c r="AM92" i="15"/>
  <c r="BH92" i="15" s="1"/>
  <c r="X93" i="15"/>
  <c r="AV47" i="15"/>
  <c r="AV51" i="15"/>
  <c r="AV55" i="15"/>
  <c r="AS38" i="15"/>
  <c r="AL47" i="15"/>
  <c r="BG47" i="15" s="1"/>
  <c r="AS47" i="15"/>
  <c r="AL51" i="15"/>
  <c r="BG51" i="15" s="1"/>
  <c r="AS51" i="15"/>
  <c r="AL55" i="15"/>
  <c r="BG55" i="15" s="1"/>
  <c r="AS55" i="15"/>
  <c r="AA95" i="15"/>
  <c r="BE95" i="15" s="1"/>
  <c r="AG95" i="15"/>
  <c r="AJ95" i="15"/>
  <c r="AP95" i="15"/>
  <c r="N95" i="15"/>
  <c r="BA95" i="15" s="1"/>
  <c r="X95" i="15"/>
  <c r="AD95" i="15"/>
  <c r="AY95" i="15"/>
  <c r="BK95" i="15" s="1"/>
  <c r="AS95" i="15"/>
  <c r="AV95" i="15"/>
  <c r="AM95" i="15"/>
  <c r="BH95" i="15" s="1"/>
  <c r="Y94" i="15"/>
  <c r="O95" i="15"/>
  <c r="BB95" i="15" s="1"/>
  <c r="U95" i="15"/>
  <c r="AX86" i="15"/>
  <c r="BJ86" i="15" s="1"/>
  <c r="AX87" i="15"/>
  <c r="BJ87" i="15" s="1"/>
  <c r="AX88" i="15"/>
  <c r="BJ88" i="15" s="1"/>
  <c r="AX89" i="15"/>
  <c r="BJ89" i="15" s="1"/>
  <c r="AX90" i="15"/>
  <c r="BJ90" i="15" s="1"/>
  <c r="AX91" i="15"/>
  <c r="BJ91" i="15" s="1"/>
  <c r="AX92" i="15"/>
  <c r="BJ92" i="15" s="1"/>
  <c r="AX93" i="15"/>
  <c r="BJ93" i="15" s="1"/>
  <c r="I85" i="15"/>
  <c r="N85" i="15"/>
  <c r="BA85" i="15" s="1"/>
  <c r="AD85" i="15"/>
  <c r="AJ85" i="15"/>
  <c r="AP85" i="15"/>
  <c r="I86" i="15"/>
  <c r="N86" i="15"/>
  <c r="BA86" i="15" s="1"/>
  <c r="AD86" i="15"/>
  <c r="AJ86" i="15"/>
  <c r="AP86" i="15"/>
  <c r="I87" i="15"/>
  <c r="N87" i="15"/>
  <c r="BA87" i="15" s="1"/>
  <c r="AD87" i="15"/>
  <c r="AJ87" i="15"/>
  <c r="AP87" i="15"/>
  <c r="I88" i="15"/>
  <c r="N88" i="15"/>
  <c r="BA88" i="15" s="1"/>
  <c r="AD88" i="15"/>
  <c r="AJ88" i="15"/>
  <c r="AP88" i="15"/>
  <c r="I89" i="15"/>
  <c r="N89" i="15"/>
  <c r="BA89" i="15" s="1"/>
  <c r="AD89" i="15"/>
  <c r="AJ89" i="15"/>
  <c r="AP89" i="15"/>
  <c r="I90" i="15"/>
  <c r="N90" i="15"/>
  <c r="BA90" i="15" s="1"/>
  <c r="AD90" i="15"/>
  <c r="AJ90" i="15"/>
  <c r="AP90" i="15"/>
  <c r="I91" i="15"/>
  <c r="N91" i="15"/>
  <c r="BA91" i="15" s="1"/>
  <c r="AD91" i="15"/>
  <c r="AJ91" i="15"/>
  <c r="AP91" i="15"/>
  <c r="I92" i="15"/>
  <c r="N92" i="15"/>
  <c r="BA92" i="15" s="1"/>
  <c r="AD92" i="15"/>
  <c r="AJ92" i="15"/>
  <c r="AP92" i="15"/>
  <c r="I93" i="15"/>
  <c r="N93" i="15"/>
  <c r="BA93" i="15" s="1"/>
  <c r="AD93" i="15"/>
  <c r="AJ93" i="15"/>
  <c r="AP93" i="15"/>
  <c r="AX85" i="15"/>
  <c r="BJ85" i="15" s="1"/>
  <c r="R85" i="15"/>
  <c r="R86" i="15"/>
  <c r="R87" i="15"/>
  <c r="R88" i="15"/>
  <c r="R89" i="15"/>
  <c r="R90" i="15"/>
  <c r="R91" i="15"/>
  <c r="R92" i="15"/>
  <c r="R93" i="15"/>
  <c r="K83" i="15"/>
  <c r="Z83" i="15"/>
  <c r="BD83" i="15" s="1"/>
  <c r="AG83" i="15"/>
  <c r="AO83" i="15"/>
  <c r="E83" i="15"/>
  <c r="L83" i="15"/>
  <c r="U83" i="15"/>
  <c r="AA83" i="15"/>
  <c r="BE83" i="15" s="1"/>
  <c r="AI83" i="15"/>
  <c r="AR83" i="15"/>
  <c r="AM83" i="15"/>
  <c r="BH83" i="15" s="1"/>
  <c r="Q83" i="15"/>
  <c r="AY83" i="15"/>
  <c r="BK83" i="15" s="1"/>
  <c r="F83" i="15"/>
  <c r="X83" i="15"/>
  <c r="W83" i="15"/>
  <c r="AC83" i="15"/>
  <c r="AL83" i="15"/>
  <c r="BG83" i="15" s="1"/>
  <c r="AS83" i="15"/>
  <c r="N66" i="15"/>
  <c r="BA66" i="15" s="1"/>
  <c r="U66" i="15"/>
  <c r="O66" i="15"/>
  <c r="BB66" i="15" s="1"/>
  <c r="AG66" i="15"/>
  <c r="AS66" i="15"/>
  <c r="AY66" i="15"/>
  <c r="BK66" i="15" s="1"/>
  <c r="X70" i="15"/>
  <c r="AY82" i="15"/>
  <c r="BK82" i="15" s="1"/>
  <c r="AX82" i="15"/>
  <c r="BJ82" i="15" s="1"/>
  <c r="X67" i="15"/>
  <c r="AG67" i="15"/>
  <c r="AS67" i="15"/>
  <c r="N78" i="15"/>
  <c r="BA78" i="15" s="1"/>
  <c r="AS78" i="15"/>
  <c r="X78" i="15"/>
  <c r="AM78" i="15"/>
  <c r="BH78" i="15" s="1"/>
  <c r="R78" i="15"/>
  <c r="AY78" i="15"/>
  <c r="BK78" i="15" s="1"/>
  <c r="N79" i="15"/>
  <c r="BA79" i="15" s="1"/>
  <c r="AA79" i="15"/>
  <c r="BE79" i="15" s="1"/>
  <c r="O79" i="15"/>
  <c r="BB79" i="15" s="1"/>
  <c r="AS79" i="15"/>
  <c r="X79" i="15"/>
  <c r="AM79" i="15"/>
  <c r="BH79" i="15" s="1"/>
  <c r="AX79" i="15"/>
  <c r="BJ79" i="15" s="1"/>
  <c r="AY79" i="15"/>
  <c r="BK79" i="15" s="1"/>
  <c r="AR63" i="15"/>
  <c r="AL63" i="15"/>
  <c r="BG63" i="15" s="1"/>
  <c r="AF63" i="15"/>
  <c r="K63" i="15"/>
  <c r="E63" i="15"/>
  <c r="L63" i="15"/>
  <c r="AV63" i="15"/>
  <c r="AP63" i="15"/>
  <c r="AJ63" i="15"/>
  <c r="AD63" i="15"/>
  <c r="Z63" i="15"/>
  <c r="BD63" i="15" s="1"/>
  <c r="AI63" i="15"/>
  <c r="AU63" i="15"/>
  <c r="N64" i="15"/>
  <c r="BA64" i="15" s="1"/>
  <c r="U64" i="15"/>
  <c r="O64" i="15"/>
  <c r="BB64" i="15" s="1"/>
  <c r="X64" i="15"/>
  <c r="AG64" i="15"/>
  <c r="AS64" i="15"/>
  <c r="AY64" i="15"/>
  <c r="BK64" i="15" s="1"/>
  <c r="R66" i="15"/>
  <c r="AA66" i="15"/>
  <c r="BE66" i="15" s="1"/>
  <c r="AM66" i="15"/>
  <c r="BH66" i="15" s="1"/>
  <c r="AV67" i="15"/>
  <c r="N68" i="15"/>
  <c r="BA68" i="15" s="1"/>
  <c r="U68" i="15"/>
  <c r="O68" i="15"/>
  <c r="BB68" i="15" s="1"/>
  <c r="X68" i="15"/>
  <c r="AG68" i="15"/>
  <c r="AS68" i="15"/>
  <c r="AY68" i="15"/>
  <c r="BK68" i="15" s="1"/>
  <c r="R70" i="15"/>
  <c r="AA70" i="15"/>
  <c r="BE70" i="15" s="1"/>
  <c r="AV71" i="15"/>
  <c r="N72" i="15"/>
  <c r="BA72" i="15" s="1"/>
  <c r="U72" i="15"/>
  <c r="O72" i="15"/>
  <c r="BB72" i="15" s="1"/>
  <c r="X72" i="15"/>
  <c r="AG72" i="15"/>
  <c r="AS72" i="15"/>
  <c r="U74" i="15"/>
  <c r="O78" i="15"/>
  <c r="BB78" i="15" s="1"/>
  <c r="AX78" i="15"/>
  <c r="BJ78" i="15" s="1"/>
  <c r="AV79" i="15"/>
  <c r="AG79" i="15"/>
  <c r="X66" i="15"/>
  <c r="N70" i="15"/>
  <c r="BA70" i="15" s="1"/>
  <c r="U70" i="15"/>
  <c r="O70" i="15"/>
  <c r="BB70" i="15" s="1"/>
  <c r="AG70" i="15"/>
  <c r="AS70" i="15"/>
  <c r="AY70" i="15"/>
  <c r="BK70" i="15" s="1"/>
  <c r="AV66" i="15"/>
  <c r="N67" i="15"/>
  <c r="BA67" i="15" s="1"/>
  <c r="U67" i="15"/>
  <c r="O67" i="15"/>
  <c r="BB67" i="15" s="1"/>
  <c r="AV70" i="15"/>
  <c r="N71" i="15"/>
  <c r="BA71" i="15" s="1"/>
  <c r="U71" i="15"/>
  <c r="O71" i="15"/>
  <c r="BB71" i="15" s="1"/>
  <c r="AG71" i="15"/>
  <c r="AS71" i="15"/>
  <c r="AY71" i="15"/>
  <c r="BK71" i="15" s="1"/>
  <c r="U63" i="15"/>
  <c r="O63" i="15"/>
  <c r="BB63" i="15" s="1"/>
  <c r="AA63" i="15"/>
  <c r="BE63" i="15" s="1"/>
  <c r="AM63" i="15"/>
  <c r="BH63" i="15" s="1"/>
  <c r="N65" i="15"/>
  <c r="BA65" i="15" s="1"/>
  <c r="U65" i="15"/>
  <c r="O65" i="15"/>
  <c r="BB65" i="15" s="1"/>
  <c r="X65" i="15"/>
  <c r="AG65" i="15"/>
  <c r="AS65" i="15"/>
  <c r="AY65" i="15"/>
  <c r="BK65" i="15" s="1"/>
  <c r="R67" i="15"/>
  <c r="AA67" i="15"/>
  <c r="BE67" i="15" s="1"/>
  <c r="AM67" i="15"/>
  <c r="BH67" i="15" s="1"/>
  <c r="N69" i="15"/>
  <c r="BA69" i="15" s="1"/>
  <c r="U69" i="15"/>
  <c r="O69" i="15"/>
  <c r="BB69" i="15" s="1"/>
  <c r="X69" i="15"/>
  <c r="AG69" i="15"/>
  <c r="AS69" i="15"/>
  <c r="AY69" i="15"/>
  <c r="BK69" i="15" s="1"/>
  <c r="R71" i="15"/>
  <c r="AA71" i="15"/>
  <c r="BE71" i="15" s="1"/>
  <c r="AM71" i="15"/>
  <c r="BH71" i="15" s="1"/>
  <c r="N74" i="15"/>
  <c r="BA74" i="15" s="1"/>
  <c r="AS74" i="15"/>
  <c r="X74" i="15"/>
  <c r="AM74" i="15"/>
  <c r="BH74" i="15" s="1"/>
  <c r="R74" i="15"/>
  <c r="AY74" i="15"/>
  <c r="BK74" i="15" s="1"/>
  <c r="N75" i="15"/>
  <c r="BA75" i="15" s="1"/>
  <c r="AA75" i="15"/>
  <c r="BE75" i="15" s="1"/>
  <c r="O75" i="15"/>
  <c r="BB75" i="15" s="1"/>
  <c r="AS75" i="15"/>
  <c r="X75" i="15"/>
  <c r="AM75" i="15"/>
  <c r="BH75" i="15" s="1"/>
  <c r="AX75" i="15"/>
  <c r="BJ75" i="15" s="1"/>
  <c r="AY75" i="15"/>
  <c r="BK75" i="15" s="1"/>
  <c r="AG78" i="15"/>
  <c r="R79" i="15"/>
  <c r="AY84" i="15"/>
  <c r="BK84" i="15" s="1"/>
  <c r="AX84" i="15"/>
  <c r="BJ84" i="15" s="1"/>
  <c r="E64" i="15"/>
  <c r="K64" i="15"/>
  <c r="Z64" i="15"/>
  <c r="BD64" i="15" s="1"/>
  <c r="AF64" i="15"/>
  <c r="AL64" i="15"/>
  <c r="BG64" i="15" s="1"/>
  <c r="AR64" i="15"/>
  <c r="E65" i="15"/>
  <c r="K65" i="15"/>
  <c r="Z65" i="15"/>
  <c r="BD65" i="15" s="1"/>
  <c r="AF65" i="15"/>
  <c r="AL65" i="15"/>
  <c r="BG65" i="15" s="1"/>
  <c r="AR65" i="15"/>
  <c r="E66" i="15"/>
  <c r="K66" i="15"/>
  <c r="Z66" i="15"/>
  <c r="BD66" i="15" s="1"/>
  <c r="AF66" i="15"/>
  <c r="AL66" i="15"/>
  <c r="BG66" i="15" s="1"/>
  <c r="AR66" i="15"/>
  <c r="E67" i="15"/>
  <c r="K67" i="15"/>
  <c r="Z67" i="15"/>
  <c r="BD67" i="15" s="1"/>
  <c r="AF67" i="15"/>
  <c r="AL67" i="15"/>
  <c r="BG67" i="15" s="1"/>
  <c r="AR67" i="15"/>
  <c r="E68" i="15"/>
  <c r="K68" i="15"/>
  <c r="Z68" i="15"/>
  <c r="BD68" i="15" s="1"/>
  <c r="AF68" i="15"/>
  <c r="AL68" i="15"/>
  <c r="BG68" i="15" s="1"/>
  <c r="AR68" i="15"/>
  <c r="E69" i="15"/>
  <c r="K69" i="15"/>
  <c r="Z69" i="15"/>
  <c r="BD69" i="15" s="1"/>
  <c r="AF69" i="15"/>
  <c r="AL69" i="15"/>
  <c r="BG69" i="15" s="1"/>
  <c r="AR69" i="15"/>
  <c r="E70" i="15"/>
  <c r="K70" i="15"/>
  <c r="Z70" i="15"/>
  <c r="BD70" i="15" s="1"/>
  <c r="AF70" i="15"/>
  <c r="AL70" i="15"/>
  <c r="BG70" i="15" s="1"/>
  <c r="AR70" i="15"/>
  <c r="E71" i="15"/>
  <c r="K71" i="15"/>
  <c r="Z71" i="15"/>
  <c r="BD71" i="15" s="1"/>
  <c r="AF71" i="15"/>
  <c r="AL71" i="15"/>
  <c r="BG71" i="15" s="1"/>
  <c r="AR71" i="15"/>
  <c r="E72" i="15"/>
  <c r="K72" i="15"/>
  <c r="AF72" i="15"/>
  <c r="AL72" i="15"/>
  <c r="BG72" i="15" s="1"/>
  <c r="AR72" i="15"/>
  <c r="U73" i="15"/>
  <c r="AG73" i="15"/>
  <c r="AV74" i="15"/>
  <c r="O76" i="15"/>
  <c r="BB76" i="15" s="1"/>
  <c r="AA76" i="15"/>
  <c r="BE76" i="15" s="1"/>
  <c r="U77" i="15"/>
  <c r="AG77" i="15"/>
  <c r="AV78" i="15"/>
  <c r="O80" i="15"/>
  <c r="BB80" i="15" s="1"/>
  <c r="AA80" i="15"/>
  <c r="BE80" i="15" s="1"/>
  <c r="U81" i="15"/>
  <c r="AG81" i="15"/>
  <c r="AY81" i="15"/>
  <c r="BK81" i="15" s="1"/>
  <c r="I64" i="15"/>
  <c r="AD64" i="15"/>
  <c r="AJ64" i="15"/>
  <c r="AP64" i="15"/>
  <c r="I65" i="15"/>
  <c r="AD65" i="15"/>
  <c r="AJ65" i="15"/>
  <c r="AP65" i="15"/>
  <c r="I66" i="15"/>
  <c r="AD66" i="15"/>
  <c r="AJ66" i="15"/>
  <c r="AP66" i="15"/>
  <c r="I67" i="15"/>
  <c r="AD67" i="15"/>
  <c r="AJ67" i="15"/>
  <c r="AP67" i="15"/>
  <c r="I68" i="15"/>
  <c r="AD68" i="15"/>
  <c r="AJ68" i="15"/>
  <c r="AP68" i="15"/>
  <c r="I69" i="15"/>
  <c r="AD69" i="15"/>
  <c r="AJ69" i="15"/>
  <c r="AP69" i="15"/>
  <c r="I70" i="15"/>
  <c r="AD70" i="15"/>
  <c r="AJ70" i="15"/>
  <c r="AP70" i="15"/>
  <c r="I71" i="15"/>
  <c r="AD71" i="15"/>
  <c r="AJ71" i="15"/>
  <c r="AP71" i="15"/>
  <c r="I72" i="15"/>
  <c r="AV72" i="15"/>
  <c r="AD72" i="15"/>
  <c r="AJ72" i="15"/>
  <c r="AP72" i="15"/>
  <c r="U76" i="15"/>
  <c r="AG76" i="15"/>
  <c r="U80" i="15"/>
  <c r="AG80" i="15"/>
  <c r="I73" i="15"/>
  <c r="AD73" i="15"/>
  <c r="AJ73" i="15"/>
  <c r="AP73" i="15"/>
  <c r="I74" i="15"/>
  <c r="AD74" i="15"/>
  <c r="AJ74" i="15"/>
  <c r="AP74" i="15"/>
  <c r="I75" i="15"/>
  <c r="AD75" i="15"/>
  <c r="AJ75" i="15"/>
  <c r="AP75" i="15"/>
  <c r="I76" i="15"/>
  <c r="AD76" i="15"/>
  <c r="AJ76" i="15"/>
  <c r="AP76" i="15"/>
  <c r="I77" i="15"/>
  <c r="AD77" i="15"/>
  <c r="AJ77" i="15"/>
  <c r="AP77" i="15"/>
  <c r="I78" i="15"/>
  <c r="AD78" i="15"/>
  <c r="AJ78" i="15"/>
  <c r="AP78" i="15"/>
  <c r="I79" i="15"/>
  <c r="AD79" i="15"/>
  <c r="AJ79" i="15"/>
  <c r="AP79" i="15"/>
  <c r="I80" i="15"/>
  <c r="AD80" i="15"/>
  <c r="AJ80" i="15"/>
  <c r="AP80" i="15"/>
  <c r="I81" i="15"/>
  <c r="AD81" i="15"/>
  <c r="AJ81" i="15"/>
  <c r="AP81" i="15"/>
  <c r="I82" i="15"/>
  <c r="N82" i="15"/>
  <c r="BA82" i="15" s="1"/>
  <c r="AD82" i="15"/>
  <c r="AJ82" i="15"/>
  <c r="AP82" i="15"/>
  <c r="I83" i="15"/>
  <c r="N83" i="15"/>
  <c r="BA83" i="15" s="1"/>
  <c r="AD83" i="15"/>
  <c r="AJ83" i="15"/>
  <c r="AP83" i="15"/>
  <c r="I84" i="15"/>
  <c r="N84" i="15"/>
  <c r="BA84" i="15" s="1"/>
  <c r="AD84" i="15"/>
  <c r="AJ84" i="15"/>
  <c r="AP84" i="15"/>
  <c r="R82" i="15"/>
  <c r="R83" i="15"/>
  <c r="R84" i="15"/>
  <c r="I59" i="15"/>
  <c r="Q59" i="15"/>
  <c r="AC59" i="15"/>
  <c r="F59" i="15"/>
  <c r="K59" i="15"/>
  <c r="W59" i="15"/>
  <c r="AG36" i="15"/>
  <c r="AV36" i="15"/>
  <c r="L37" i="15"/>
  <c r="R37" i="15"/>
  <c r="AG37" i="15"/>
  <c r="AV37" i="15"/>
  <c r="L38" i="15"/>
  <c r="R38" i="15"/>
  <c r="AG38" i="15"/>
  <c r="AV38" i="15"/>
  <c r="L39" i="15"/>
  <c r="R39" i="15"/>
  <c r="AG39" i="15"/>
  <c r="AO39" i="15"/>
  <c r="AX39" i="15"/>
  <c r="BJ39" i="15" s="1"/>
  <c r="U43" i="15"/>
  <c r="O43" i="15"/>
  <c r="BB43" i="15" s="1"/>
  <c r="R43" i="15"/>
  <c r="AY43" i="15"/>
  <c r="BK43" i="15" s="1"/>
  <c r="AM43" i="15"/>
  <c r="BH43" i="15" s="1"/>
  <c r="AD43" i="15"/>
  <c r="X43" i="15"/>
  <c r="AY54" i="15"/>
  <c r="BK54" i="15" s="1"/>
  <c r="AX54" i="15"/>
  <c r="BJ54" i="15" s="1"/>
  <c r="X35" i="15"/>
  <c r="AA36" i="15"/>
  <c r="BE36" i="15" s="1"/>
  <c r="AP36" i="15"/>
  <c r="F37" i="15"/>
  <c r="T37" i="15"/>
  <c r="AI37" i="15"/>
  <c r="F38" i="15"/>
  <c r="T38" i="15"/>
  <c r="AI38" i="15"/>
  <c r="U39" i="15"/>
  <c r="O39" i="15"/>
  <c r="BB39" i="15" s="1"/>
  <c r="AA39" i="15"/>
  <c r="BE39" i="15" s="1"/>
  <c r="AY39" i="15"/>
  <c r="BK39" i="15" s="1"/>
  <c r="N43" i="15"/>
  <c r="BA43" i="15" s="1"/>
  <c r="AJ43" i="15"/>
  <c r="U46" i="15"/>
  <c r="O46" i="15"/>
  <c r="BB46" i="15" s="1"/>
  <c r="R46" i="15"/>
  <c r="AM46" i="15"/>
  <c r="BH46" i="15" s="1"/>
  <c r="AD46" i="15"/>
  <c r="X46" i="15"/>
  <c r="N53" i="15"/>
  <c r="BA53" i="15" s="1"/>
  <c r="AM53" i="15"/>
  <c r="BH53" i="15" s="1"/>
  <c r="R53" i="15"/>
  <c r="AS53" i="15"/>
  <c r="X53" i="15"/>
  <c r="AG53" i="15"/>
  <c r="O53" i="15"/>
  <c r="BB53" i="15" s="1"/>
  <c r="AX57" i="15"/>
  <c r="BJ57" i="15" s="1"/>
  <c r="I35" i="15"/>
  <c r="N35" i="15"/>
  <c r="BA35" i="15" s="1"/>
  <c r="AD35" i="15"/>
  <c r="AJ35" i="15"/>
  <c r="AP35" i="15"/>
  <c r="AR36" i="15"/>
  <c r="AL36" i="15"/>
  <c r="BG36" i="15" s="1"/>
  <c r="AF36" i="15"/>
  <c r="I36" i="15"/>
  <c r="W36" i="15"/>
  <c r="AC36" i="15"/>
  <c r="AJ36" i="15"/>
  <c r="AS36" i="15"/>
  <c r="AX36" i="15"/>
  <c r="BJ36" i="15" s="1"/>
  <c r="H37" i="15"/>
  <c r="W37" i="15"/>
  <c r="AC37" i="15"/>
  <c r="AJ37" i="15"/>
  <c r="H38" i="15"/>
  <c r="W38" i="15"/>
  <c r="AC38" i="15"/>
  <c r="AJ38" i="15"/>
  <c r="H39" i="15"/>
  <c r="N39" i="15"/>
  <c r="BA39" i="15" s="1"/>
  <c r="W39" i="15"/>
  <c r="AC39" i="15"/>
  <c r="N40" i="15"/>
  <c r="BA40" i="15" s="1"/>
  <c r="AA40" i="15"/>
  <c r="BE40" i="15" s="1"/>
  <c r="U41" i="15"/>
  <c r="O41" i="15"/>
  <c r="BB41" i="15" s="1"/>
  <c r="R41" i="15"/>
  <c r="AY41" i="15"/>
  <c r="BK41" i="15" s="1"/>
  <c r="AM41" i="15"/>
  <c r="BH41" i="15" s="1"/>
  <c r="AD41" i="15"/>
  <c r="X41" i="15"/>
  <c r="N42" i="15"/>
  <c r="BA42" i="15" s="1"/>
  <c r="AA43" i="15"/>
  <c r="BE43" i="15" s="1"/>
  <c r="AP43" i="15"/>
  <c r="U45" i="15"/>
  <c r="O45" i="15"/>
  <c r="BB45" i="15" s="1"/>
  <c r="R45" i="15"/>
  <c r="AY45" i="15"/>
  <c r="BK45" i="15" s="1"/>
  <c r="AM45" i="15"/>
  <c r="BH45" i="15" s="1"/>
  <c r="AD45" i="15"/>
  <c r="X45" i="15"/>
  <c r="N46" i="15"/>
  <c r="BA46" i="15" s="1"/>
  <c r="AJ46" i="15"/>
  <c r="AY46" i="15"/>
  <c r="BK46" i="15" s="1"/>
  <c r="N49" i="15"/>
  <c r="BA49" i="15" s="1"/>
  <c r="AS49" i="15"/>
  <c r="X49" i="15"/>
  <c r="AM49" i="15"/>
  <c r="BH49" i="15" s="1"/>
  <c r="O49" i="15"/>
  <c r="BB49" i="15" s="1"/>
  <c r="AX50" i="15"/>
  <c r="BJ50" i="15" s="1"/>
  <c r="AY50" i="15"/>
  <c r="BK50" i="15" s="1"/>
  <c r="N54" i="15"/>
  <c r="BA54" i="15" s="1"/>
  <c r="AS54" i="15"/>
  <c r="X54" i="15"/>
  <c r="AA54" i="15"/>
  <c r="BE54" i="15" s="1"/>
  <c r="O54" i="15"/>
  <c r="BB54" i="15" s="1"/>
  <c r="R54" i="15"/>
  <c r="AG54" i="15"/>
  <c r="AR37" i="15"/>
  <c r="AL37" i="15"/>
  <c r="BG37" i="15" s="1"/>
  <c r="AF37" i="15"/>
  <c r="K37" i="15"/>
  <c r="E37" i="15"/>
  <c r="Z37" i="15"/>
  <c r="BD37" i="15" s="1"/>
  <c r="AO37" i="15"/>
  <c r="AR38" i="15"/>
  <c r="AL38" i="15"/>
  <c r="BG38" i="15" s="1"/>
  <c r="AF38" i="15"/>
  <c r="K38" i="15"/>
  <c r="E38" i="15"/>
  <c r="Z38" i="15"/>
  <c r="BD38" i="15" s="1"/>
  <c r="AO38" i="15"/>
  <c r="AR39" i="15"/>
  <c r="AL39" i="15"/>
  <c r="BG39" i="15" s="1"/>
  <c r="AF39" i="15"/>
  <c r="K39" i="15"/>
  <c r="E39" i="15"/>
  <c r="Z39" i="15"/>
  <c r="BD39" i="15" s="1"/>
  <c r="AV39" i="15"/>
  <c r="AP39" i="15"/>
  <c r="R35" i="15"/>
  <c r="AY35" i="15"/>
  <c r="BK35" i="15" s="1"/>
  <c r="U36" i="15"/>
  <c r="O36" i="15"/>
  <c r="BB36" i="15" s="1"/>
  <c r="U37" i="15"/>
  <c r="O37" i="15"/>
  <c r="BB37" i="15" s="1"/>
  <c r="AA37" i="15"/>
  <c r="BE37" i="15" s="1"/>
  <c r="AP37" i="15"/>
  <c r="U38" i="15"/>
  <c r="O38" i="15"/>
  <c r="BB38" i="15" s="1"/>
  <c r="AA38" i="15"/>
  <c r="BE38" i="15" s="1"/>
  <c r="AP38" i="15"/>
  <c r="F39" i="15"/>
  <c r="T39" i="15"/>
  <c r="AI39" i="15"/>
  <c r="AS39" i="15"/>
  <c r="U40" i="15"/>
  <c r="O40" i="15"/>
  <c r="BB40" i="15" s="1"/>
  <c r="R40" i="15"/>
  <c r="AY40" i="15"/>
  <c r="BK40" i="15" s="1"/>
  <c r="AM40" i="15"/>
  <c r="BH40" i="15" s="1"/>
  <c r="AD40" i="15"/>
  <c r="X40" i="15"/>
  <c r="AJ40" i="15"/>
  <c r="U42" i="15"/>
  <c r="O42" i="15"/>
  <c r="BB42" i="15" s="1"/>
  <c r="R42" i="15"/>
  <c r="AY42" i="15"/>
  <c r="BK42" i="15" s="1"/>
  <c r="AM42" i="15"/>
  <c r="BH42" i="15" s="1"/>
  <c r="AD42" i="15"/>
  <c r="X42" i="15"/>
  <c r="O35" i="15"/>
  <c r="BB35" i="15" s="1"/>
  <c r="X36" i="15"/>
  <c r="AD36" i="15"/>
  <c r="AM36" i="15"/>
  <c r="BH36" i="15" s="1"/>
  <c r="AY36" i="15"/>
  <c r="BK36" i="15" s="1"/>
  <c r="I37" i="15"/>
  <c r="Q37" i="15"/>
  <c r="X37" i="15"/>
  <c r="AD37" i="15"/>
  <c r="AM37" i="15"/>
  <c r="BH37" i="15" s="1"/>
  <c r="AU37" i="15"/>
  <c r="AY37" i="15"/>
  <c r="BK37" i="15" s="1"/>
  <c r="I38" i="15"/>
  <c r="Q38" i="15"/>
  <c r="X38" i="15"/>
  <c r="AD38" i="15"/>
  <c r="AM38" i="15"/>
  <c r="BH38" i="15" s="1"/>
  <c r="AU38" i="15"/>
  <c r="AY38" i="15"/>
  <c r="BK38" i="15" s="1"/>
  <c r="I39" i="15"/>
  <c r="Q39" i="15"/>
  <c r="X39" i="15"/>
  <c r="AD39" i="15"/>
  <c r="AM39" i="15"/>
  <c r="BH39" i="15" s="1"/>
  <c r="AS40" i="15"/>
  <c r="AA42" i="15"/>
  <c r="BE42" i="15" s="1"/>
  <c r="AP42" i="15"/>
  <c r="AS43" i="15"/>
  <c r="U44" i="15"/>
  <c r="O44" i="15"/>
  <c r="BB44" i="15" s="1"/>
  <c r="R44" i="15"/>
  <c r="AY44" i="15"/>
  <c r="BK44" i="15" s="1"/>
  <c r="AM44" i="15"/>
  <c r="BH44" i="15" s="1"/>
  <c r="AD44" i="15"/>
  <c r="X44" i="15"/>
  <c r="AA46" i="15"/>
  <c r="BE46" i="15" s="1"/>
  <c r="AP46" i="15"/>
  <c r="U53" i="15"/>
  <c r="AA53" i="15"/>
  <c r="BE53" i="15" s="1"/>
  <c r="AY53" i="15"/>
  <c r="BK53" i="15" s="1"/>
  <c r="AX53" i="15"/>
  <c r="BJ53" i="15" s="1"/>
  <c r="N57" i="15"/>
  <c r="BA57" i="15" s="1"/>
  <c r="AM57" i="15"/>
  <c r="BH57" i="15" s="1"/>
  <c r="R57" i="15"/>
  <c r="AS57" i="15"/>
  <c r="X57" i="15"/>
  <c r="AA57" i="15"/>
  <c r="BE57" i="15" s="1"/>
  <c r="U57" i="15"/>
  <c r="AG57" i="15"/>
  <c r="AR40" i="15"/>
  <c r="AL40" i="15"/>
  <c r="BG40" i="15" s="1"/>
  <c r="AF40" i="15"/>
  <c r="K40" i="15"/>
  <c r="I40" i="15"/>
  <c r="Q40" i="15"/>
  <c r="AU40" i="15"/>
  <c r="N48" i="15"/>
  <c r="BA48" i="15" s="1"/>
  <c r="AM48" i="15"/>
  <c r="BH48" i="15" s="1"/>
  <c r="R48" i="15"/>
  <c r="AA48" i="15"/>
  <c r="BE48" i="15" s="1"/>
  <c r="AS48" i="15"/>
  <c r="AV54" i="15"/>
  <c r="E40" i="15"/>
  <c r="L40" i="15"/>
  <c r="Z40" i="15"/>
  <c r="BD40" i="15" s="1"/>
  <c r="AG40" i="15"/>
  <c r="AO40" i="15"/>
  <c r="AV40" i="15"/>
  <c r="AR41" i="15"/>
  <c r="AL41" i="15"/>
  <c r="BG41" i="15" s="1"/>
  <c r="AF41" i="15"/>
  <c r="K41" i="15"/>
  <c r="E41" i="15"/>
  <c r="L41" i="15"/>
  <c r="Z41" i="15"/>
  <c r="BD41" i="15" s="1"/>
  <c r="AG41" i="15"/>
  <c r="AO41" i="15"/>
  <c r="AV41" i="15"/>
  <c r="AR42" i="15"/>
  <c r="AL42" i="15"/>
  <c r="BG42" i="15" s="1"/>
  <c r="AF42" i="15"/>
  <c r="K42" i="15"/>
  <c r="E42" i="15"/>
  <c r="L42" i="15"/>
  <c r="Z42" i="15"/>
  <c r="BD42" i="15" s="1"/>
  <c r="AG42" i="15"/>
  <c r="AO42" i="15"/>
  <c r="AV42" i="15"/>
  <c r="AR43" i="15"/>
  <c r="AL43" i="15"/>
  <c r="BG43" i="15" s="1"/>
  <c r="AF43" i="15"/>
  <c r="K43" i="15"/>
  <c r="E43" i="15"/>
  <c r="L43" i="15"/>
  <c r="Z43" i="15"/>
  <c r="BD43" i="15" s="1"/>
  <c r="AG43" i="15"/>
  <c r="AO43" i="15"/>
  <c r="AV43" i="15"/>
  <c r="AR44" i="15"/>
  <c r="AL44" i="15"/>
  <c r="BG44" i="15" s="1"/>
  <c r="AF44" i="15"/>
  <c r="K44" i="15"/>
  <c r="E44" i="15"/>
  <c r="L44" i="15"/>
  <c r="Z44" i="15"/>
  <c r="BD44" i="15" s="1"/>
  <c r="AG44" i="15"/>
  <c r="AO44" i="15"/>
  <c r="AV44" i="15"/>
  <c r="AR45" i="15"/>
  <c r="AL45" i="15"/>
  <c r="BG45" i="15" s="1"/>
  <c r="AF45" i="15"/>
  <c r="K45" i="15"/>
  <c r="E45" i="15"/>
  <c r="L45" i="15"/>
  <c r="Z45" i="15"/>
  <c r="BD45" i="15" s="1"/>
  <c r="AG45" i="15"/>
  <c r="AO45" i="15"/>
  <c r="AV45" i="15"/>
  <c r="AR46" i="15"/>
  <c r="AL46" i="15"/>
  <c r="BG46" i="15" s="1"/>
  <c r="AF46" i="15"/>
  <c r="K46" i="15"/>
  <c r="E46" i="15"/>
  <c r="L46" i="15"/>
  <c r="AV46" i="15"/>
  <c r="Z46" i="15"/>
  <c r="BD46" i="15" s="1"/>
  <c r="AG46" i="15"/>
  <c r="AO46" i="15"/>
  <c r="AX46" i="15"/>
  <c r="BJ46" i="15" s="1"/>
  <c r="O48" i="15"/>
  <c r="BB48" i="15" s="1"/>
  <c r="X48" i="15"/>
  <c r="AV49" i="15"/>
  <c r="AY49" i="15"/>
  <c r="BK49" i="15" s="1"/>
  <c r="N50" i="15"/>
  <c r="BA50" i="15" s="1"/>
  <c r="AA50" i="15"/>
  <c r="BE50" i="15" s="1"/>
  <c r="O50" i="15"/>
  <c r="BB50" i="15" s="1"/>
  <c r="AS50" i="15"/>
  <c r="U47" i="15"/>
  <c r="AG47" i="15"/>
  <c r="AV48" i="15"/>
  <c r="U51" i="15"/>
  <c r="AG51" i="15"/>
  <c r="R52" i="15"/>
  <c r="AV52" i="15"/>
  <c r="AM52" i="15"/>
  <c r="BH52" i="15" s="1"/>
  <c r="U55" i="15"/>
  <c r="AG55" i="15"/>
  <c r="R56" i="15"/>
  <c r="AV56" i="15"/>
  <c r="AM56" i="15"/>
  <c r="BH56" i="15" s="1"/>
  <c r="U52" i="15"/>
  <c r="AG52" i="15"/>
  <c r="AV53" i="15"/>
  <c r="U56" i="15"/>
  <c r="AG56" i="15"/>
  <c r="AV57" i="15"/>
  <c r="I47" i="15"/>
  <c r="AD47" i="15"/>
  <c r="AJ47" i="15"/>
  <c r="AP47" i="15"/>
  <c r="I48" i="15"/>
  <c r="AD48" i="15"/>
  <c r="AJ48" i="15"/>
  <c r="AP48" i="15"/>
  <c r="I49" i="15"/>
  <c r="AD49" i="15"/>
  <c r="AJ49" i="15"/>
  <c r="AP49" i="15"/>
  <c r="I50" i="15"/>
  <c r="AD50" i="15"/>
  <c r="AJ50" i="15"/>
  <c r="AP50" i="15"/>
  <c r="I51" i="15"/>
  <c r="AD51" i="15"/>
  <c r="AJ51" i="15"/>
  <c r="AP51" i="15"/>
  <c r="I52" i="15"/>
  <c r="AD52" i="15"/>
  <c r="AJ52" i="15"/>
  <c r="AP52" i="15"/>
  <c r="I53" i="15"/>
  <c r="AD53" i="15"/>
  <c r="AJ53" i="15"/>
  <c r="AP53" i="15"/>
  <c r="I54" i="15"/>
  <c r="AD54" i="15"/>
  <c r="AJ54" i="15"/>
  <c r="AP54" i="15"/>
  <c r="I55" i="15"/>
  <c r="AD55" i="15"/>
  <c r="AJ55" i="15"/>
  <c r="AP55" i="15"/>
  <c r="I56" i="15"/>
  <c r="AD56" i="15"/>
  <c r="AJ56" i="15"/>
  <c r="AP56" i="15"/>
  <c r="I57" i="15"/>
  <c r="AD57" i="15"/>
  <c r="AJ57" i="15"/>
  <c r="AP57" i="15"/>
  <c r="AX29" i="15"/>
  <c r="BJ29" i="15" s="1"/>
  <c r="AY28" i="15"/>
  <c r="BK28" i="15" s="1"/>
  <c r="AY26" i="15"/>
  <c r="BK26" i="15" s="1"/>
  <c r="AY24" i="15"/>
  <c r="BK24" i="15" s="1"/>
  <c r="AY22" i="15"/>
  <c r="BK22" i="15" s="1"/>
  <c r="AY20" i="15"/>
  <c r="BK20" i="15" s="1"/>
  <c r="AY18" i="15"/>
  <c r="BK18" i="15" s="1"/>
  <c r="AY16" i="15"/>
  <c r="BK16" i="15" s="1"/>
  <c r="AY14" i="15"/>
  <c r="BK14" i="15" s="1"/>
  <c r="AY12" i="15"/>
  <c r="BK12" i="15" s="1"/>
  <c r="AY10" i="15"/>
  <c r="BK10" i="15" s="1"/>
  <c r="AY6" i="15"/>
  <c r="BK6" i="15" s="1"/>
  <c r="AY8" i="15"/>
  <c r="BK8" i="15" s="1"/>
  <c r="AW31" i="15"/>
  <c r="BI31" i="15" s="1"/>
  <c r="AK31" i="15"/>
  <c r="BF31" i="15" s="1"/>
  <c r="Y31" i="15"/>
  <c r="BC31" i="15" s="1"/>
  <c r="M31" i="15"/>
  <c r="AZ31" i="15" s="1"/>
  <c r="AQ140" i="15"/>
  <c r="AN140" i="15"/>
  <c r="AE140" i="15"/>
  <c r="G31" i="15"/>
  <c r="D31" i="15"/>
  <c r="B31" i="15"/>
  <c r="N13" i="8"/>
  <c r="B7" i="2"/>
  <c r="B338" i="1"/>
  <c r="AZ59" i="15" l="1"/>
  <c r="AZ105" i="15" s="1"/>
  <c r="M105" i="15"/>
  <c r="K107" i="15"/>
  <c r="J140" i="15"/>
  <c r="H105" i="15"/>
  <c r="I105" i="15"/>
  <c r="G107" i="15"/>
  <c r="P146" i="15"/>
  <c r="P147" i="15"/>
  <c r="AW155" i="15"/>
  <c r="AW154" i="15"/>
  <c r="AT147" i="15"/>
  <c r="AU147" i="15" s="1"/>
  <c r="AT146" i="15"/>
  <c r="AA102" i="15"/>
  <c r="BE102" i="15" s="1"/>
  <c r="Z102" i="15"/>
  <c r="BD102" i="15" s="1"/>
  <c r="AJ102" i="15"/>
  <c r="AG102" i="15"/>
  <c r="AD102" i="15"/>
  <c r="E105" i="15"/>
  <c r="F105" i="15"/>
  <c r="AE146" i="15"/>
  <c r="AE147" i="15"/>
  <c r="N102" i="15"/>
  <c r="BA102" i="15" s="1"/>
  <c r="R102" i="15"/>
  <c r="O102" i="15"/>
  <c r="BB102" i="15" s="1"/>
  <c r="X102" i="15"/>
  <c r="U102" i="15"/>
  <c r="Q150" i="15"/>
  <c r="AI59" i="15"/>
  <c r="AO59" i="15"/>
  <c r="L59" i="15"/>
  <c r="E59" i="15"/>
  <c r="AV102" i="15"/>
  <c r="AM102" i="15"/>
  <c r="BH102" i="15" s="1"/>
  <c r="AU145" i="15"/>
  <c r="BC155" i="15"/>
  <c r="BC154" i="15"/>
  <c r="AT151" i="15"/>
  <c r="AU151" i="15" s="1"/>
  <c r="AT150" i="15"/>
  <c r="S151" i="15"/>
  <c r="S150" i="15"/>
  <c r="L105" i="15"/>
  <c r="G147" i="15"/>
  <c r="G146" i="15"/>
  <c r="J146" i="15"/>
  <c r="J147" i="15"/>
  <c r="M155" i="15"/>
  <c r="M154" i="15"/>
  <c r="AN146" i="15"/>
  <c r="AN147" i="15"/>
  <c r="AO147" i="15" s="1"/>
  <c r="AQ146" i="15"/>
  <c r="AQ147" i="15"/>
  <c r="D146" i="15"/>
  <c r="D147" i="15"/>
  <c r="B150" i="15"/>
  <c r="C150" i="15" s="1"/>
  <c r="AI150" i="15" s="1"/>
  <c r="C149" i="15"/>
  <c r="F149" i="15" s="1"/>
  <c r="B151" i="15"/>
  <c r="C151" i="15" s="1"/>
  <c r="AI151" i="15" s="1"/>
  <c r="AE151" i="15"/>
  <c r="AE150" i="15"/>
  <c r="AF149" i="15"/>
  <c r="AZ102" i="15"/>
  <c r="Q151" i="15"/>
  <c r="H150" i="15"/>
  <c r="H59" i="15"/>
  <c r="AU107" i="15"/>
  <c r="AT140" i="15"/>
  <c r="D151" i="15"/>
  <c r="D150" i="15"/>
  <c r="E149" i="15"/>
  <c r="M104" i="15"/>
  <c r="O101" i="15"/>
  <c r="BB101" i="15" s="1"/>
  <c r="N101" i="15"/>
  <c r="BA101" i="15" s="1"/>
  <c r="R101" i="15"/>
  <c r="U101" i="15"/>
  <c r="X101" i="15"/>
  <c r="J151" i="15"/>
  <c r="J150" i="15"/>
  <c r="K149" i="15"/>
  <c r="L149" i="15"/>
  <c r="Y154" i="15"/>
  <c r="Y155" i="15"/>
  <c r="AB151" i="15"/>
  <c r="AB150" i="15"/>
  <c r="AC150" i="15" s="1"/>
  <c r="BI102" i="15"/>
  <c r="BI104" i="15" s="1"/>
  <c r="AC105" i="15"/>
  <c r="AB107" i="15"/>
  <c r="Q105" i="15"/>
  <c r="P107" i="15"/>
  <c r="Y104" i="15"/>
  <c r="Y149" i="15" s="1"/>
  <c r="AA101" i="15"/>
  <c r="BE101" i="15" s="1"/>
  <c r="AD101" i="15"/>
  <c r="Z101" i="15"/>
  <c r="BD101" i="15" s="1"/>
  <c r="AJ101" i="15"/>
  <c r="AG101" i="15"/>
  <c r="S146" i="15"/>
  <c r="S147" i="15"/>
  <c r="T147" i="15" s="1"/>
  <c r="AO104" i="15"/>
  <c r="H104" i="15"/>
  <c r="W104" i="15"/>
  <c r="L104" i="15"/>
  <c r="Q104" i="15"/>
  <c r="AC104" i="15"/>
  <c r="AU104" i="15"/>
  <c r="T104" i="15"/>
  <c r="I104" i="15"/>
  <c r="AI104" i="15"/>
  <c r="AF107" i="15"/>
  <c r="AF59" i="15"/>
  <c r="AP102" i="15"/>
  <c r="D107" i="15"/>
  <c r="AQ151" i="15"/>
  <c r="AR151" i="15" s="1"/>
  <c r="AR149" i="15"/>
  <c r="AQ150" i="15"/>
  <c r="AR150" i="15" s="1"/>
  <c r="AZ104" i="15"/>
  <c r="AZ153" i="15"/>
  <c r="AW104" i="15"/>
  <c r="AX101" i="15"/>
  <c r="BJ101" i="15" s="1"/>
  <c r="AB146" i="15"/>
  <c r="AB147" i="15"/>
  <c r="AC147" i="15" s="1"/>
  <c r="Y105" i="15"/>
  <c r="W150" i="15"/>
  <c r="T105" i="15"/>
  <c r="X105" i="15"/>
  <c r="S107" i="15"/>
  <c r="AN151" i="15"/>
  <c r="AO151" i="15" s="1"/>
  <c r="AO149" i="15"/>
  <c r="AN150" i="15"/>
  <c r="AO150" i="15" s="1"/>
  <c r="C107" i="15"/>
  <c r="B140" i="15"/>
  <c r="C140" i="15" s="1"/>
  <c r="AR140" i="15" s="1"/>
  <c r="B147" i="15"/>
  <c r="C147" i="15" s="1"/>
  <c r="AI147" i="15" s="1"/>
  <c r="B146" i="15"/>
  <c r="C146" i="15" s="1"/>
  <c r="C145" i="15"/>
  <c r="Q145" i="15" s="1"/>
  <c r="BI154" i="15"/>
  <c r="BI155" i="15"/>
  <c r="H151" i="15"/>
  <c r="I151" i="15"/>
  <c r="B433" i="16"/>
  <c r="B435" i="16" s="1"/>
  <c r="B508" i="16"/>
  <c r="B503" i="16"/>
  <c r="B269" i="16"/>
  <c r="B262" i="16"/>
  <c r="B264" i="16"/>
  <c r="B261" i="16"/>
  <c r="B89" i="17"/>
  <c r="B509" i="16" s="1"/>
  <c r="B270" i="16"/>
  <c r="B365" i="16"/>
  <c r="B366" i="16" s="1"/>
  <c r="B419" i="16"/>
  <c r="B420" i="16"/>
  <c r="B422" i="16" s="1"/>
  <c r="B154" i="17"/>
  <c r="B577" i="16"/>
  <c r="B459" i="16"/>
  <c r="B484" i="16" s="1"/>
  <c r="B460" i="16"/>
  <c r="B462" i="16" s="1"/>
  <c r="B474" i="16" s="1"/>
  <c r="B147" i="17"/>
  <c r="B202" i="17"/>
  <c r="B568" i="16"/>
  <c r="BL137" i="15"/>
  <c r="BM137" i="15" s="1"/>
  <c r="BF59" i="15"/>
  <c r="BF105" i="15" s="1"/>
  <c r="BF107" i="15" s="1"/>
  <c r="BF140" i="15" s="1"/>
  <c r="AK105" i="15"/>
  <c r="AK145" i="15"/>
  <c r="AI107" i="15"/>
  <c r="AH140" i="15"/>
  <c r="AI140" i="15" s="1"/>
  <c r="AV59" i="15"/>
  <c r="BC105" i="15"/>
  <c r="BC107" i="15" s="1"/>
  <c r="BC140" i="15" s="1"/>
  <c r="BC149" i="15"/>
  <c r="W140" i="15"/>
  <c r="BI94" i="15"/>
  <c r="AW145" i="15"/>
  <c r="BC94" i="15"/>
  <c r="BC145" i="15" s="1"/>
  <c r="Y145" i="15"/>
  <c r="AK104" i="15"/>
  <c r="AS101" i="15"/>
  <c r="AP101" i="15"/>
  <c r="AM101" i="15"/>
  <c r="BH101" i="15" s="1"/>
  <c r="AV101" i="15"/>
  <c r="AL101" i="15"/>
  <c r="BG101" i="15" s="1"/>
  <c r="BM70" i="15"/>
  <c r="BL102" i="15"/>
  <c r="BM102" i="15" s="1"/>
  <c r="BM95" i="15"/>
  <c r="BL101" i="15"/>
  <c r="AO140" i="15"/>
  <c r="AF140" i="15"/>
  <c r="Z59" i="15"/>
  <c r="BD59" i="15" s="1"/>
  <c r="AL59" i="15"/>
  <c r="BG59" i="15" s="1"/>
  <c r="BL26" i="15"/>
  <c r="BM26" i="15" s="1"/>
  <c r="BL14" i="15"/>
  <c r="BM14" i="15" s="1"/>
  <c r="R59" i="15"/>
  <c r="X59" i="15"/>
  <c r="AP59" i="15"/>
  <c r="N59" i="15"/>
  <c r="BA59" i="15" s="1"/>
  <c r="AG59" i="15"/>
  <c r="AD59" i="15"/>
  <c r="AS59" i="15"/>
  <c r="U59" i="15"/>
  <c r="AJ59" i="15"/>
  <c r="O59" i="15"/>
  <c r="BB59" i="15" s="1"/>
  <c r="AX59" i="15"/>
  <c r="BJ59" i="15" s="1"/>
  <c r="BI59" i="15"/>
  <c r="BI105" i="15" s="1"/>
  <c r="BL31" i="15"/>
  <c r="BM31" i="15" s="1"/>
  <c r="C31" i="15"/>
  <c r="AF31" i="15" s="1"/>
  <c r="AY59" i="15"/>
  <c r="BK59" i="15" s="1"/>
  <c r="AA59" i="15"/>
  <c r="BE59" i="15" s="1"/>
  <c r="Y96" i="15"/>
  <c r="BC96" i="15" s="1"/>
  <c r="AD31" i="15"/>
  <c r="B96" i="15"/>
  <c r="C96" i="15" s="1"/>
  <c r="AF96" i="15" s="1"/>
  <c r="C94" i="15"/>
  <c r="E94" i="15" s="1"/>
  <c r="D96" i="15"/>
  <c r="M94" i="15"/>
  <c r="M145" i="15" s="1"/>
  <c r="G96" i="15"/>
  <c r="AW96" i="15"/>
  <c r="BI96" i="15" s="1"/>
  <c r="AM59" i="15"/>
  <c r="BH59" i="15" s="1"/>
  <c r="AY31" i="15"/>
  <c r="BK31" i="15" s="1"/>
  <c r="G140" i="15"/>
  <c r="D140" i="15"/>
  <c r="B153" i="15"/>
  <c r="C74" i="1"/>
  <c r="D74" i="1"/>
  <c r="E74" i="1"/>
  <c r="F74" i="1"/>
  <c r="G74" i="1"/>
  <c r="B74" i="1"/>
  <c r="C279" i="1"/>
  <c r="C280" i="1" s="1"/>
  <c r="D279" i="1"/>
  <c r="D280" i="1" s="1"/>
  <c r="D492" i="1" s="1"/>
  <c r="D494" i="1" s="1"/>
  <c r="E279" i="1"/>
  <c r="E280" i="1" s="1"/>
  <c r="F279" i="1"/>
  <c r="F280" i="1" s="1"/>
  <c r="F492" i="1" s="1"/>
  <c r="F494" i="1" s="1"/>
  <c r="G279" i="1"/>
  <c r="G280" i="1" s="1"/>
  <c r="G492" i="1" s="1"/>
  <c r="G494" i="1" s="1"/>
  <c r="H279" i="1"/>
  <c r="H280" i="1" s="1"/>
  <c r="H492" i="1" s="1"/>
  <c r="H494" i="1" s="1"/>
  <c r="I279" i="1"/>
  <c r="I280" i="1" s="1"/>
  <c r="J279" i="1"/>
  <c r="J280" i="1" s="1"/>
  <c r="B279" i="1"/>
  <c r="B280" i="1" s="1"/>
  <c r="B492" i="1" s="1"/>
  <c r="B494" i="1" s="1"/>
  <c r="F153" i="5"/>
  <c r="F118" i="5"/>
  <c r="F106" i="5"/>
  <c r="F108" i="5" s="1"/>
  <c r="F69" i="5"/>
  <c r="F38" i="5"/>
  <c r="E153" i="5"/>
  <c r="E171" i="5" s="1"/>
  <c r="E118" i="5"/>
  <c r="E106" i="5"/>
  <c r="E108" i="5" s="1"/>
  <c r="E69" i="5"/>
  <c r="E38" i="5"/>
  <c r="D153" i="5"/>
  <c r="D171" i="5" s="1"/>
  <c r="D118" i="5"/>
  <c r="D106" i="5"/>
  <c r="D108" i="5" s="1"/>
  <c r="D69" i="5"/>
  <c r="D38" i="5"/>
  <c r="C153" i="5"/>
  <c r="C118" i="5"/>
  <c r="C106" i="5"/>
  <c r="C108" i="5" s="1"/>
  <c r="C69" i="5"/>
  <c r="C38" i="5"/>
  <c r="BI107" i="15" l="1"/>
  <c r="BI140" i="15" s="1"/>
  <c r="BI149" i="15"/>
  <c r="Y151" i="15"/>
  <c r="Y150" i="15"/>
  <c r="Z149" i="15"/>
  <c r="BD149" i="15" s="1"/>
  <c r="T146" i="15"/>
  <c r="AC107" i="15"/>
  <c r="AB140" i="15"/>
  <c r="M107" i="15"/>
  <c r="M149" i="15"/>
  <c r="AJ149" i="15" s="1"/>
  <c r="U104" i="15"/>
  <c r="N104" i="15"/>
  <c r="BA104" i="15" s="1"/>
  <c r="O104" i="15"/>
  <c r="BB104" i="15" s="1"/>
  <c r="R104" i="15"/>
  <c r="X104" i="15"/>
  <c r="E150" i="15"/>
  <c r="F150" i="15"/>
  <c r="AF151" i="15"/>
  <c r="E147" i="15"/>
  <c r="F147" i="15"/>
  <c r="X155" i="15"/>
  <c r="K146" i="15"/>
  <c r="L146" i="15"/>
  <c r="T150" i="15"/>
  <c r="H107" i="15"/>
  <c r="I107" i="15"/>
  <c r="N105" i="15"/>
  <c r="BA105" i="15" s="1"/>
  <c r="O105" i="15"/>
  <c r="BB105" i="15" s="1"/>
  <c r="C153" i="15"/>
  <c r="B154" i="15"/>
  <c r="C154" i="15" s="1"/>
  <c r="B155" i="15"/>
  <c r="C155" i="15" s="1"/>
  <c r="AG155" i="15" s="1"/>
  <c r="AJ107" i="15"/>
  <c r="AW107" i="15"/>
  <c r="AW149" i="15"/>
  <c r="AX104" i="15"/>
  <c r="BJ104" i="15" s="1"/>
  <c r="F107" i="15"/>
  <c r="E107" i="15"/>
  <c r="Q107" i="15"/>
  <c r="P140" i="15"/>
  <c r="R107" i="15"/>
  <c r="AC149" i="15"/>
  <c r="Z154" i="15"/>
  <c r="BD154" i="15" s="1"/>
  <c r="AA154" i="15"/>
  <c r="BE154" i="15" s="1"/>
  <c r="AD154" i="15"/>
  <c r="AM154" i="15"/>
  <c r="BH154" i="15" s="1"/>
  <c r="AG154" i="15"/>
  <c r="AJ154" i="15"/>
  <c r="AS154" i="15"/>
  <c r="AV154" i="15"/>
  <c r="AP154" i="15"/>
  <c r="K150" i="15"/>
  <c r="L150" i="15"/>
  <c r="W147" i="15"/>
  <c r="I150" i="15"/>
  <c r="F146" i="15"/>
  <c r="E146" i="15"/>
  <c r="AO146" i="15"/>
  <c r="H146" i="15"/>
  <c r="I146" i="15"/>
  <c r="T151" i="15"/>
  <c r="W151" i="15"/>
  <c r="U155" i="15"/>
  <c r="AI146" i="15"/>
  <c r="W146" i="15"/>
  <c r="E140" i="15"/>
  <c r="F140" i="15"/>
  <c r="BI145" i="15"/>
  <c r="AG107" i="15"/>
  <c r="AS155" i="15"/>
  <c r="U105" i="15"/>
  <c r="AZ155" i="15"/>
  <c r="BL155" i="15" s="1"/>
  <c r="BM155" i="15" s="1"/>
  <c r="AZ154" i="15"/>
  <c r="BL154" i="15" s="1"/>
  <c r="BM154" i="15" s="1"/>
  <c r="BL153" i="15"/>
  <c r="BM153" i="15" s="1"/>
  <c r="Z104" i="15"/>
  <c r="BD104" i="15" s="1"/>
  <c r="AA104" i="15"/>
  <c r="BE104" i="15" s="1"/>
  <c r="AD104" i="15"/>
  <c r="AG104" i="15"/>
  <c r="AJ104" i="15"/>
  <c r="Y107" i="15"/>
  <c r="R105" i="15"/>
  <c r="AC151" i="15"/>
  <c r="K151" i="15"/>
  <c r="L151" i="15"/>
  <c r="E151" i="15"/>
  <c r="F151" i="15"/>
  <c r="W149" i="15"/>
  <c r="AI149" i="15"/>
  <c r="Q149" i="15"/>
  <c r="H149" i="15"/>
  <c r="I149" i="15"/>
  <c r="AR147" i="15"/>
  <c r="N154" i="15"/>
  <c r="BA154" i="15" s="1"/>
  <c r="R154" i="15"/>
  <c r="O154" i="15"/>
  <c r="BB154" i="15" s="1"/>
  <c r="X154" i="15"/>
  <c r="U154" i="15"/>
  <c r="H147" i="15"/>
  <c r="I147" i="15"/>
  <c r="AU150" i="15"/>
  <c r="AF147" i="15"/>
  <c r="AX154" i="15"/>
  <c r="BJ154" i="15" s="1"/>
  <c r="AY154" i="15"/>
  <c r="BK154" i="15" s="1"/>
  <c r="Q147" i="15"/>
  <c r="L107" i="15"/>
  <c r="AA105" i="15"/>
  <c r="BE105" i="15" s="1"/>
  <c r="AD105" i="15"/>
  <c r="Z105" i="15"/>
  <c r="BD105" i="15" s="1"/>
  <c r="AJ105" i="15"/>
  <c r="AG105" i="15"/>
  <c r="AZ107" i="15"/>
  <c r="AZ140" i="15" s="1"/>
  <c r="AZ149" i="15"/>
  <c r="Z155" i="15"/>
  <c r="BD155" i="15" s="1"/>
  <c r="AD155" i="15"/>
  <c r="AJ155" i="15"/>
  <c r="AA155" i="15"/>
  <c r="BE155" i="15" s="1"/>
  <c r="AM155" i="15"/>
  <c r="BH155" i="15" s="1"/>
  <c r="AR145" i="15"/>
  <c r="AO145" i="15"/>
  <c r="K145" i="15"/>
  <c r="AC145" i="15"/>
  <c r="T145" i="15"/>
  <c r="W145" i="15"/>
  <c r="I145" i="15"/>
  <c r="E145" i="15"/>
  <c r="H145" i="15"/>
  <c r="L145" i="15"/>
  <c r="AI145" i="15"/>
  <c r="F145" i="15"/>
  <c r="AF145" i="15"/>
  <c r="W107" i="15"/>
  <c r="AO107" i="15"/>
  <c r="T107" i="15"/>
  <c r="S140" i="15"/>
  <c r="U107" i="15"/>
  <c r="X107" i="15"/>
  <c r="AC146" i="15"/>
  <c r="AU140" i="15"/>
  <c r="R155" i="15"/>
  <c r="AF150" i="15"/>
  <c r="AR146" i="15"/>
  <c r="K147" i="15"/>
  <c r="L147" i="15"/>
  <c r="T149" i="15"/>
  <c r="AU149" i="15"/>
  <c r="AF146" i="15"/>
  <c r="AU146" i="15"/>
  <c r="AX155" i="15"/>
  <c r="BJ155" i="15" s="1"/>
  <c r="Q146" i="15"/>
  <c r="K140" i="15"/>
  <c r="AR107" i="15"/>
  <c r="B272" i="16"/>
  <c r="B273" i="16" s="1"/>
  <c r="B263" i="16"/>
  <c r="B91" i="17" s="1"/>
  <c r="B92" i="17" s="1"/>
  <c r="B486" i="16"/>
  <c r="B487" i="16" s="1"/>
  <c r="B100" i="17"/>
  <c r="B180" i="17"/>
  <c r="B305" i="16"/>
  <c r="B476" i="16"/>
  <c r="B479" i="16"/>
  <c r="B481" i="16"/>
  <c r="B473" i="16"/>
  <c r="B475" i="16" s="1"/>
  <c r="BF149" i="15"/>
  <c r="AL105" i="15"/>
  <c r="BG105" i="15" s="1"/>
  <c r="AS105" i="15"/>
  <c r="AV105" i="15"/>
  <c r="AP105" i="15"/>
  <c r="AM105" i="15"/>
  <c r="BH105" i="15" s="1"/>
  <c r="AY105" i="15"/>
  <c r="BK105" i="15" s="1"/>
  <c r="AK146" i="15"/>
  <c r="AL146" i="15" s="1"/>
  <c r="BG146" i="15" s="1"/>
  <c r="AK147" i="15"/>
  <c r="AL147" i="15" s="1"/>
  <c r="BG147" i="15" s="1"/>
  <c r="AL145" i="15"/>
  <c r="BG145" i="15" s="1"/>
  <c r="BL59" i="15"/>
  <c r="BL105" i="15" s="1"/>
  <c r="BM105" i="15" s="1"/>
  <c r="BF145" i="15"/>
  <c r="BC151" i="15"/>
  <c r="BC150" i="15"/>
  <c r="BM59" i="15"/>
  <c r="BI146" i="15"/>
  <c r="BI147" i="15"/>
  <c r="AW147" i="15"/>
  <c r="AX147" i="15" s="1"/>
  <c r="BJ147" i="15" s="1"/>
  <c r="AW146" i="15"/>
  <c r="AX146" i="15" s="1"/>
  <c r="BJ146" i="15" s="1"/>
  <c r="AX145" i="15"/>
  <c r="BJ145" i="15" s="1"/>
  <c r="Y146" i="15"/>
  <c r="Z146" i="15" s="1"/>
  <c r="BD146" i="15" s="1"/>
  <c r="Z145" i="15"/>
  <c r="BD145" i="15" s="1"/>
  <c r="Y147" i="15"/>
  <c r="Z147" i="15" s="1"/>
  <c r="BD147" i="15" s="1"/>
  <c r="BC146" i="15"/>
  <c r="BC147" i="15"/>
  <c r="M147" i="15"/>
  <c r="R145" i="15"/>
  <c r="M146" i="15"/>
  <c r="X145" i="15"/>
  <c r="AD145" i="15"/>
  <c r="O145" i="15"/>
  <c r="BB145" i="15" s="1"/>
  <c r="AG145" i="15"/>
  <c r="AM145" i="15"/>
  <c r="BH145" i="15" s="1"/>
  <c r="N145" i="15"/>
  <c r="BA145" i="15" s="1"/>
  <c r="AS145" i="15"/>
  <c r="AJ145" i="15"/>
  <c r="AA145" i="15"/>
  <c r="BE145" i="15" s="1"/>
  <c r="U145" i="15"/>
  <c r="AY145" i="15"/>
  <c r="BK145" i="15" s="1"/>
  <c r="AV145" i="15"/>
  <c r="AP145" i="15"/>
  <c r="AK149" i="15"/>
  <c r="AY104" i="15"/>
  <c r="BK104" i="15" s="1"/>
  <c r="AP104" i="15"/>
  <c r="AL104" i="15"/>
  <c r="BG104" i="15" s="1"/>
  <c r="AK107" i="15"/>
  <c r="AV104" i="15"/>
  <c r="AM104" i="15"/>
  <c r="BH104" i="15" s="1"/>
  <c r="AS104" i="15"/>
  <c r="BL149" i="15"/>
  <c r="BM149" i="15" s="1"/>
  <c r="BF150" i="15"/>
  <c r="BF151" i="15"/>
  <c r="BL104" i="15"/>
  <c r="BM101" i="15"/>
  <c r="L140" i="15"/>
  <c r="H140" i="15"/>
  <c r="I140" i="15"/>
  <c r="AA31" i="15"/>
  <c r="BE31" i="15" s="1"/>
  <c r="U31" i="15"/>
  <c r="AM31" i="15"/>
  <c r="BH31" i="15" s="1"/>
  <c r="AS31" i="15"/>
  <c r="AJ31" i="15"/>
  <c r="N31" i="15"/>
  <c r="BA31" i="15" s="1"/>
  <c r="E31" i="15"/>
  <c r="AI31" i="15"/>
  <c r="AL31" i="15"/>
  <c r="BG31" i="15" s="1"/>
  <c r="AO31" i="15"/>
  <c r="K31" i="15"/>
  <c r="O31" i="15"/>
  <c r="BB31" i="15" s="1"/>
  <c r="AR31" i="15"/>
  <c r="AP31" i="15"/>
  <c r="X31" i="15"/>
  <c r="F96" i="15"/>
  <c r="AR96" i="15"/>
  <c r="AO96" i="15"/>
  <c r="H96" i="15"/>
  <c r="AV31" i="15"/>
  <c r="L31" i="15"/>
  <c r="I31" i="15"/>
  <c r="W31" i="15"/>
  <c r="Z31" i="15"/>
  <c r="BD31" i="15" s="1"/>
  <c r="AS94" i="15"/>
  <c r="AZ94" i="15"/>
  <c r="T96" i="15"/>
  <c r="AX31" i="15"/>
  <c r="BJ31" i="15" s="1"/>
  <c r="R31" i="15"/>
  <c r="AG31" i="15"/>
  <c r="F31" i="15"/>
  <c r="T31" i="15"/>
  <c r="H31" i="15"/>
  <c r="AU31" i="15"/>
  <c r="AC31" i="15"/>
  <c r="Q31" i="15"/>
  <c r="AJ94" i="15"/>
  <c r="AY94" i="15"/>
  <c r="BK94" i="15" s="1"/>
  <c r="M96" i="15"/>
  <c r="AA96" i="15" s="1"/>
  <c r="BE96" i="15" s="1"/>
  <c r="AD94" i="15"/>
  <c r="E96" i="15"/>
  <c r="AA94" i="15"/>
  <c r="BE94" i="15" s="1"/>
  <c r="AG94" i="15"/>
  <c r="AV94" i="15"/>
  <c r="AX94" i="15"/>
  <c r="BJ94" i="15" s="1"/>
  <c r="F94" i="15"/>
  <c r="K96" i="15"/>
  <c r="Z94" i="15"/>
  <c r="BD94" i="15" s="1"/>
  <c r="I96" i="15"/>
  <c r="AP94" i="15"/>
  <c r="AX96" i="15"/>
  <c r="BJ96" i="15" s="1"/>
  <c r="H94" i="15"/>
  <c r="AM94" i="15"/>
  <c r="BH94" i="15" s="1"/>
  <c r="L96" i="15"/>
  <c r="I94" i="15"/>
  <c r="Q96" i="15"/>
  <c r="AC96" i="15"/>
  <c r="X94" i="15"/>
  <c r="U94" i="15"/>
  <c r="R94" i="15"/>
  <c r="N94" i="15"/>
  <c r="BA94" i="15" s="1"/>
  <c r="O94" i="15"/>
  <c r="BB94" i="15" s="1"/>
  <c r="AU94" i="15"/>
  <c r="K94" i="15"/>
  <c r="Q94" i="15"/>
  <c r="T94" i="15"/>
  <c r="L94" i="15"/>
  <c r="AF94" i="15"/>
  <c r="W94" i="15"/>
  <c r="AO94" i="15"/>
  <c r="AL94" i="15"/>
  <c r="BG94" i="15" s="1"/>
  <c r="AC94" i="15"/>
  <c r="AR94" i="15"/>
  <c r="AI94" i="15"/>
  <c r="AL96" i="15"/>
  <c r="BG96" i="15" s="1"/>
  <c r="AU96" i="15"/>
  <c r="AI96" i="15"/>
  <c r="W96" i="15"/>
  <c r="Z96" i="15"/>
  <c r="BD96" i="15" s="1"/>
  <c r="D167" i="5"/>
  <c r="E167" i="5"/>
  <c r="E163" i="5"/>
  <c r="C163" i="5"/>
  <c r="C167" i="5"/>
  <c r="F163" i="5"/>
  <c r="F167" i="5"/>
  <c r="D163" i="5"/>
  <c r="J492" i="1"/>
  <c r="J494" i="1" s="1"/>
  <c r="C492" i="1"/>
  <c r="C494" i="1" s="1"/>
  <c r="I492" i="1"/>
  <c r="I494" i="1" s="1"/>
  <c r="E492" i="1"/>
  <c r="E494" i="1" s="1"/>
  <c r="F171" i="5"/>
  <c r="F119" i="5"/>
  <c r="F121" i="5" s="1"/>
  <c r="F156" i="5" s="1"/>
  <c r="E119" i="5"/>
  <c r="E121" i="5" s="1"/>
  <c r="E156" i="5" s="1"/>
  <c r="D119" i="5"/>
  <c r="D121" i="5" s="1"/>
  <c r="D156" i="5" s="1"/>
  <c r="C171" i="5"/>
  <c r="C119" i="5"/>
  <c r="C121" i="5" s="1"/>
  <c r="C156" i="5" s="1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D44" i="14"/>
  <c r="E43" i="14"/>
  <c r="D43" i="14"/>
  <c r="E42" i="14"/>
  <c r="D42" i="14"/>
  <c r="E41" i="14"/>
  <c r="D41" i="14"/>
  <c r="D65" i="13"/>
  <c r="H65" i="13" s="1"/>
  <c r="D64" i="13"/>
  <c r="I64" i="13" s="1"/>
  <c r="D63" i="13"/>
  <c r="H63" i="13" s="1"/>
  <c r="D62" i="13"/>
  <c r="I62" i="13" s="1"/>
  <c r="D61" i="13"/>
  <c r="H61" i="13" s="1"/>
  <c r="D60" i="13"/>
  <c r="I60" i="13" s="1"/>
  <c r="D59" i="13"/>
  <c r="H59" i="13" s="1"/>
  <c r="D58" i="13"/>
  <c r="I58" i="13" s="1"/>
  <c r="D57" i="13"/>
  <c r="H57" i="13" s="1"/>
  <c r="D56" i="13"/>
  <c r="I56" i="13" s="1"/>
  <c r="D55" i="13"/>
  <c r="H55" i="13" s="1"/>
  <c r="D54" i="13"/>
  <c r="I54" i="13" s="1"/>
  <c r="D53" i="13"/>
  <c r="H53" i="13" s="1"/>
  <c r="D52" i="13"/>
  <c r="I52" i="13" s="1"/>
  <c r="D51" i="13"/>
  <c r="H51" i="13" s="1"/>
  <c r="D50" i="13"/>
  <c r="I50" i="13" s="1"/>
  <c r="D49" i="13"/>
  <c r="H49" i="13" s="1"/>
  <c r="D48" i="13"/>
  <c r="I48" i="13" s="1"/>
  <c r="D47" i="13"/>
  <c r="H47" i="13" s="1"/>
  <c r="D46" i="13"/>
  <c r="I46" i="13" s="1"/>
  <c r="D45" i="13"/>
  <c r="H45" i="13" s="1"/>
  <c r="D44" i="13"/>
  <c r="I44" i="13" s="1"/>
  <c r="D43" i="13"/>
  <c r="H43" i="13" s="1"/>
  <c r="I42" i="13"/>
  <c r="D31" i="13"/>
  <c r="I31" i="13" s="1"/>
  <c r="D30" i="13"/>
  <c r="H30" i="13" s="1"/>
  <c r="D29" i="13"/>
  <c r="I29" i="13" s="1"/>
  <c r="D28" i="13"/>
  <c r="H28" i="13" s="1"/>
  <c r="D27" i="13"/>
  <c r="I27" i="13" s="1"/>
  <c r="D26" i="13"/>
  <c r="H26" i="13" s="1"/>
  <c r="D25" i="13"/>
  <c r="I25" i="13" s="1"/>
  <c r="D24" i="13"/>
  <c r="H24" i="13" s="1"/>
  <c r="D23" i="13"/>
  <c r="I23" i="13" s="1"/>
  <c r="D22" i="13"/>
  <c r="D21" i="13"/>
  <c r="I21" i="13" s="1"/>
  <c r="D20" i="13"/>
  <c r="E20" i="13" s="1"/>
  <c r="D19" i="13"/>
  <c r="I19" i="13" s="1"/>
  <c r="D18" i="13"/>
  <c r="D17" i="13"/>
  <c r="I17" i="13" s="1"/>
  <c r="D16" i="13"/>
  <c r="D15" i="13"/>
  <c r="I15" i="13" s="1"/>
  <c r="D14" i="13"/>
  <c r="D13" i="13"/>
  <c r="I13" i="13" s="1"/>
  <c r="D12" i="13"/>
  <c r="D11" i="13"/>
  <c r="I11" i="13" s="1"/>
  <c r="G10" i="13"/>
  <c r="D10" i="13"/>
  <c r="D9" i="13"/>
  <c r="G9" i="13" s="1"/>
  <c r="D8" i="13"/>
  <c r="H8" i="13" s="1"/>
  <c r="D64" i="12"/>
  <c r="G64" i="12" s="1"/>
  <c r="D63" i="12"/>
  <c r="H63" i="12" s="1"/>
  <c r="D62" i="12"/>
  <c r="G62" i="12" s="1"/>
  <c r="D61" i="12"/>
  <c r="F61" i="12" s="1"/>
  <c r="D60" i="12"/>
  <c r="G60" i="12" s="1"/>
  <c r="D59" i="12"/>
  <c r="F59" i="12" s="1"/>
  <c r="D58" i="12"/>
  <c r="G58" i="12" s="1"/>
  <c r="D57" i="12"/>
  <c r="H57" i="12" s="1"/>
  <c r="D56" i="12"/>
  <c r="G56" i="12" s="1"/>
  <c r="D55" i="12"/>
  <c r="H55" i="12" s="1"/>
  <c r="D54" i="12"/>
  <c r="G54" i="12" s="1"/>
  <c r="D53" i="12"/>
  <c r="H53" i="12" s="1"/>
  <c r="D52" i="12"/>
  <c r="G52" i="12" s="1"/>
  <c r="D51" i="12"/>
  <c r="F51" i="12" s="1"/>
  <c r="D50" i="12"/>
  <c r="G50" i="12" s="1"/>
  <c r="D49" i="12"/>
  <c r="H49" i="12" s="1"/>
  <c r="D48" i="12"/>
  <c r="G48" i="12" s="1"/>
  <c r="D47" i="12"/>
  <c r="H47" i="12" s="1"/>
  <c r="D46" i="12"/>
  <c r="G46" i="12" s="1"/>
  <c r="D45" i="12"/>
  <c r="H45" i="12" s="1"/>
  <c r="D44" i="12"/>
  <c r="G44" i="12" s="1"/>
  <c r="D43" i="12"/>
  <c r="F43" i="12" s="1"/>
  <c r="D42" i="12"/>
  <c r="G42" i="12" s="1"/>
  <c r="D41" i="12"/>
  <c r="H41" i="12" s="1"/>
  <c r="D31" i="12"/>
  <c r="G31" i="12" s="1"/>
  <c r="D30" i="12"/>
  <c r="H30" i="12" s="1"/>
  <c r="D29" i="12"/>
  <c r="G29" i="12" s="1"/>
  <c r="D28" i="12"/>
  <c r="G28" i="12" s="1"/>
  <c r="D27" i="12"/>
  <c r="G27" i="12" s="1"/>
  <c r="D26" i="12"/>
  <c r="F26" i="12" s="1"/>
  <c r="D25" i="12"/>
  <c r="G25" i="12" s="1"/>
  <c r="D24" i="12"/>
  <c r="G24" i="12" s="1"/>
  <c r="D23" i="12"/>
  <c r="G23" i="12" s="1"/>
  <c r="D22" i="12"/>
  <c r="D21" i="12"/>
  <c r="G21" i="12" s="1"/>
  <c r="D20" i="12"/>
  <c r="H20" i="12" s="1"/>
  <c r="D19" i="12"/>
  <c r="G19" i="12" s="1"/>
  <c r="D18" i="12"/>
  <c r="G18" i="12" s="1"/>
  <c r="D17" i="12"/>
  <c r="G17" i="12" s="1"/>
  <c r="D16" i="12"/>
  <c r="H16" i="12" s="1"/>
  <c r="D15" i="12"/>
  <c r="G15" i="12" s="1"/>
  <c r="D14" i="12"/>
  <c r="D13" i="12"/>
  <c r="G13" i="12" s="1"/>
  <c r="D12" i="12"/>
  <c r="G12" i="12" s="1"/>
  <c r="D10" i="12"/>
  <c r="G10" i="12" s="1"/>
  <c r="I8" i="12"/>
  <c r="H42" i="14" l="1"/>
  <c r="I42" i="14"/>
  <c r="J42" i="14"/>
  <c r="G42" i="14"/>
  <c r="H50" i="14"/>
  <c r="I50" i="14"/>
  <c r="J50" i="14"/>
  <c r="G50" i="14"/>
  <c r="H56" i="14"/>
  <c r="I56" i="14"/>
  <c r="G56" i="14"/>
  <c r="J56" i="14"/>
  <c r="H64" i="14"/>
  <c r="I64" i="14"/>
  <c r="G64" i="14"/>
  <c r="J64" i="14"/>
  <c r="T140" i="15"/>
  <c r="X140" i="15"/>
  <c r="AY155" i="15"/>
  <c r="BK155" i="15" s="1"/>
  <c r="AO153" i="15"/>
  <c r="AC153" i="15"/>
  <c r="AF153" i="15"/>
  <c r="AU153" i="15"/>
  <c r="AR153" i="15"/>
  <c r="W153" i="15"/>
  <c r="T153" i="15"/>
  <c r="I153" i="15"/>
  <c r="L153" i="15"/>
  <c r="Q153" i="15"/>
  <c r="AV153" i="15"/>
  <c r="X153" i="15"/>
  <c r="AM153" i="15"/>
  <c r="BH153" i="15" s="1"/>
  <c r="F153" i="15"/>
  <c r="K153" i="15"/>
  <c r="R153" i="15"/>
  <c r="AP153" i="15"/>
  <c r="AS153" i="15"/>
  <c r="H153" i="15"/>
  <c r="E153" i="15"/>
  <c r="AI153" i="15"/>
  <c r="AL153" i="15"/>
  <c r="BG153" i="15" s="1"/>
  <c r="AJ153" i="15"/>
  <c r="U153" i="15"/>
  <c r="AG153" i="15"/>
  <c r="N153" i="15"/>
  <c r="BA153" i="15" s="1"/>
  <c r="AY153" i="15"/>
  <c r="BK153" i="15" s="1"/>
  <c r="AA153" i="15"/>
  <c r="BE153" i="15" s="1"/>
  <c r="AD153" i="15"/>
  <c r="O153" i="15"/>
  <c r="BB153" i="15" s="1"/>
  <c r="Z153" i="15"/>
  <c r="BD153" i="15" s="1"/>
  <c r="AX153" i="15"/>
  <c r="BJ153" i="15" s="1"/>
  <c r="Z150" i="15"/>
  <c r="BD150" i="15" s="1"/>
  <c r="H44" i="14"/>
  <c r="I44" i="14"/>
  <c r="G44" i="14"/>
  <c r="J44" i="14"/>
  <c r="H46" i="14"/>
  <c r="I46" i="14"/>
  <c r="G46" i="14"/>
  <c r="J46" i="14"/>
  <c r="H52" i="14"/>
  <c r="I52" i="14"/>
  <c r="G52" i="14"/>
  <c r="J52" i="14"/>
  <c r="H58" i="14"/>
  <c r="I58" i="14"/>
  <c r="J58" i="14"/>
  <c r="G58" i="14"/>
  <c r="H62" i="14"/>
  <c r="I62" i="14"/>
  <c r="G62" i="14"/>
  <c r="J62" i="14"/>
  <c r="I41" i="14"/>
  <c r="G41" i="14"/>
  <c r="J41" i="14"/>
  <c r="H41" i="14"/>
  <c r="H43" i="14"/>
  <c r="G43" i="14"/>
  <c r="J43" i="14"/>
  <c r="I43" i="14"/>
  <c r="H45" i="14"/>
  <c r="J45" i="14"/>
  <c r="G45" i="14"/>
  <c r="I45" i="14"/>
  <c r="H47" i="14"/>
  <c r="G47" i="14"/>
  <c r="J47" i="14"/>
  <c r="I47" i="14"/>
  <c r="H49" i="14"/>
  <c r="J49" i="14"/>
  <c r="G49" i="14"/>
  <c r="I49" i="14"/>
  <c r="H51" i="14"/>
  <c r="G51" i="14"/>
  <c r="J51" i="14"/>
  <c r="I51" i="14"/>
  <c r="H53" i="14"/>
  <c r="J53" i="14"/>
  <c r="G53" i="14"/>
  <c r="I53" i="14"/>
  <c r="H55" i="14"/>
  <c r="G55" i="14"/>
  <c r="J55" i="14"/>
  <c r="I55" i="14"/>
  <c r="H57" i="14"/>
  <c r="J57" i="14"/>
  <c r="G57" i="14"/>
  <c r="I57" i="14"/>
  <c r="H59" i="14"/>
  <c r="G59" i="14"/>
  <c r="J59" i="14"/>
  <c r="I59" i="14"/>
  <c r="H61" i="14"/>
  <c r="J61" i="14"/>
  <c r="G61" i="14"/>
  <c r="I61" i="14"/>
  <c r="H63" i="14"/>
  <c r="G63" i="14"/>
  <c r="J63" i="14"/>
  <c r="I63" i="14"/>
  <c r="Q140" i="15"/>
  <c r="N149" i="15"/>
  <c r="BA149" i="15" s="1"/>
  <c r="M150" i="15"/>
  <c r="AD150" i="15" s="1"/>
  <c r="M151" i="15"/>
  <c r="AJ151" i="15" s="1"/>
  <c r="O149" i="15"/>
  <c r="BB149" i="15" s="1"/>
  <c r="R149" i="15"/>
  <c r="U149" i="15"/>
  <c r="X149" i="15"/>
  <c r="AG149" i="15"/>
  <c r="Z151" i="15"/>
  <c r="BD151" i="15" s="1"/>
  <c r="H48" i="14"/>
  <c r="I48" i="14"/>
  <c r="G48" i="14"/>
  <c r="J48" i="14"/>
  <c r="H54" i="14"/>
  <c r="I54" i="14"/>
  <c r="G54" i="14"/>
  <c r="J54" i="14"/>
  <c r="H60" i="14"/>
  <c r="I60" i="14"/>
  <c r="G60" i="14"/>
  <c r="J60" i="14"/>
  <c r="AZ151" i="15"/>
  <c r="AZ150" i="15"/>
  <c r="AW150" i="15"/>
  <c r="AX150" i="15" s="1"/>
  <c r="BJ150" i="15" s="1"/>
  <c r="AX149" i="15"/>
  <c r="BJ149" i="15" s="1"/>
  <c r="AW151" i="15"/>
  <c r="AX151" i="15" s="1"/>
  <c r="BJ151" i="15" s="1"/>
  <c r="AO155" i="15"/>
  <c r="T155" i="15"/>
  <c r="AC155" i="15"/>
  <c r="AF155" i="15"/>
  <c r="AU155" i="15"/>
  <c r="W155" i="15"/>
  <c r="AR155" i="15"/>
  <c r="H155" i="15"/>
  <c r="L155" i="15"/>
  <c r="F155" i="15"/>
  <c r="Q155" i="15"/>
  <c r="I155" i="15"/>
  <c r="AI155" i="15"/>
  <c r="AV155" i="15"/>
  <c r="AL155" i="15"/>
  <c r="BG155" i="15" s="1"/>
  <c r="K155" i="15"/>
  <c r="E155" i="15"/>
  <c r="O155" i="15"/>
  <c r="BB155" i="15" s="1"/>
  <c r="N107" i="15"/>
  <c r="BA107" i="15" s="1"/>
  <c r="O107" i="15"/>
  <c r="BB107" i="15" s="1"/>
  <c r="M140" i="15"/>
  <c r="AP155" i="15"/>
  <c r="AA149" i="15"/>
  <c r="BE149" i="15" s="1"/>
  <c r="BI151" i="15"/>
  <c r="BI150" i="15"/>
  <c r="AA107" i="15"/>
  <c r="BE107" i="15" s="1"/>
  <c r="AD107" i="15"/>
  <c r="Z107" i="15"/>
  <c r="BD107" i="15" s="1"/>
  <c r="Y140" i="15"/>
  <c r="AX107" i="15"/>
  <c r="BJ107" i="15" s="1"/>
  <c r="AW140" i="15"/>
  <c r="AX140" i="15" s="1"/>
  <c r="BJ140" i="15" s="1"/>
  <c r="AU154" i="15"/>
  <c r="AO154" i="15"/>
  <c r="AC154" i="15"/>
  <c r="AF154" i="15"/>
  <c r="AR154" i="15"/>
  <c r="T154" i="15"/>
  <c r="W154" i="15"/>
  <c r="Q154" i="15"/>
  <c r="H154" i="15"/>
  <c r="F154" i="15"/>
  <c r="AL154" i="15"/>
  <c r="BG154" i="15" s="1"/>
  <c r="I154" i="15"/>
  <c r="E154" i="15"/>
  <c r="K154" i="15"/>
  <c r="AI154" i="15"/>
  <c r="L154" i="15"/>
  <c r="N155" i="15"/>
  <c r="BA155" i="15" s="1"/>
  <c r="AC140" i="15"/>
  <c r="AG140" i="15"/>
  <c r="AD149" i="15"/>
  <c r="B504" i="16"/>
  <c r="B512" i="16"/>
  <c r="B125" i="17"/>
  <c r="B127" i="17" s="1"/>
  <c r="B265" i="16"/>
  <c r="B511" i="16"/>
  <c r="B477" i="16"/>
  <c r="B195" i="17"/>
  <c r="B482" i="16"/>
  <c r="B502" i="16"/>
  <c r="F56" i="14"/>
  <c r="G65" i="13"/>
  <c r="G30" i="13"/>
  <c r="G20" i="13"/>
  <c r="H43" i="12"/>
  <c r="BL151" i="15"/>
  <c r="BM151" i="15" s="1"/>
  <c r="BF146" i="15"/>
  <c r="BF147" i="15"/>
  <c r="BL150" i="15"/>
  <c r="BM150" i="15" s="1"/>
  <c r="AA147" i="15"/>
  <c r="BE147" i="15" s="1"/>
  <c r="N147" i="15"/>
  <c r="BA147" i="15" s="1"/>
  <c r="AM147" i="15"/>
  <c r="BH147" i="15" s="1"/>
  <c r="AD147" i="15"/>
  <c r="U147" i="15"/>
  <c r="AP147" i="15"/>
  <c r="AY147" i="15"/>
  <c r="BK147" i="15" s="1"/>
  <c r="AJ147" i="15"/>
  <c r="R147" i="15"/>
  <c r="X147" i="15"/>
  <c r="AG147" i="15"/>
  <c r="O147" i="15"/>
  <c r="BB147" i="15" s="1"/>
  <c r="AV147" i="15"/>
  <c r="AS147" i="15"/>
  <c r="BL94" i="15"/>
  <c r="BM94" i="15" s="1"/>
  <c r="AZ145" i="15"/>
  <c r="AG146" i="15"/>
  <c r="R146" i="15"/>
  <c r="AD146" i="15"/>
  <c r="X146" i="15"/>
  <c r="AJ146" i="15"/>
  <c r="N146" i="15"/>
  <c r="BA146" i="15" s="1"/>
  <c r="U146" i="15"/>
  <c r="AP146" i="15"/>
  <c r="AA146" i="15"/>
  <c r="BE146" i="15" s="1"/>
  <c r="AS146" i="15"/>
  <c r="AM146" i="15"/>
  <c r="BH146" i="15" s="1"/>
  <c r="AV146" i="15"/>
  <c r="AY146" i="15"/>
  <c r="BK146" i="15" s="1"/>
  <c r="O146" i="15"/>
  <c r="BB146" i="15" s="1"/>
  <c r="AM107" i="15"/>
  <c r="BH107" i="15" s="1"/>
  <c r="AK140" i="15"/>
  <c r="AP107" i="15"/>
  <c r="AY107" i="15"/>
  <c r="BK107" i="15" s="1"/>
  <c r="AV107" i="15"/>
  <c r="AL107" i="15"/>
  <c r="BG107" i="15" s="1"/>
  <c r="AS107" i="15"/>
  <c r="AK151" i="15"/>
  <c r="AV149" i="15"/>
  <c r="AP149" i="15"/>
  <c r="AM149" i="15"/>
  <c r="BH149" i="15" s="1"/>
  <c r="AL149" i="15"/>
  <c r="BG149" i="15" s="1"/>
  <c r="AK150" i="15"/>
  <c r="AY149" i="15"/>
  <c r="BK149" i="15" s="1"/>
  <c r="AS149" i="15"/>
  <c r="BL107" i="15"/>
  <c r="BM104" i="15"/>
  <c r="AG96" i="15"/>
  <c r="U96" i="15"/>
  <c r="X96" i="15"/>
  <c r="AS96" i="15"/>
  <c r="AD96" i="15"/>
  <c r="O96" i="15"/>
  <c r="BB96" i="15" s="1"/>
  <c r="AM96" i="15"/>
  <c r="BH96" i="15" s="1"/>
  <c r="AZ96" i="15"/>
  <c r="BL96" i="15" s="1"/>
  <c r="BM96" i="15" s="1"/>
  <c r="R96" i="15"/>
  <c r="AV96" i="15"/>
  <c r="N96" i="15"/>
  <c r="BA96" i="15" s="1"/>
  <c r="AJ96" i="15"/>
  <c r="AY96" i="15"/>
  <c r="BK96" i="15" s="1"/>
  <c r="AP96" i="15"/>
  <c r="H59" i="12"/>
  <c r="F28" i="13"/>
  <c r="F52" i="14"/>
  <c r="H10" i="12"/>
  <c r="H26" i="12"/>
  <c r="I64" i="12"/>
  <c r="G45" i="13"/>
  <c r="H18" i="12"/>
  <c r="H51" i="12"/>
  <c r="H18" i="13"/>
  <c r="I18" i="13"/>
  <c r="G48" i="13"/>
  <c r="E61" i="13"/>
  <c r="H12" i="13"/>
  <c r="I12" i="13"/>
  <c r="F55" i="13"/>
  <c r="H10" i="13"/>
  <c r="I10" i="13"/>
  <c r="H16" i="13"/>
  <c r="I16" i="13"/>
  <c r="H20" i="13"/>
  <c r="I20" i="13"/>
  <c r="H22" i="13"/>
  <c r="I22" i="13"/>
  <c r="G24" i="13"/>
  <c r="F30" i="13"/>
  <c r="E45" i="13"/>
  <c r="G47" i="13"/>
  <c r="G49" i="13"/>
  <c r="H14" i="13"/>
  <c r="I14" i="13"/>
  <c r="E9" i="13"/>
  <c r="I9" i="13"/>
  <c r="F14" i="13"/>
  <c r="G23" i="13"/>
  <c r="G61" i="13"/>
  <c r="G64" i="13"/>
  <c r="F48" i="14"/>
  <c r="F60" i="14"/>
  <c r="F64" i="14"/>
  <c r="F43" i="14"/>
  <c r="F44" i="14"/>
  <c r="G8" i="13"/>
  <c r="F12" i="13"/>
  <c r="G22" i="13"/>
  <c r="F53" i="13"/>
  <c r="G63" i="13"/>
  <c r="G12" i="13"/>
  <c r="G14" i="13"/>
  <c r="G16" i="13"/>
  <c r="E28" i="13"/>
  <c r="G31" i="13"/>
  <c r="F45" i="13"/>
  <c r="F47" i="13"/>
  <c r="G53" i="13"/>
  <c r="G55" i="13"/>
  <c r="G57" i="13"/>
  <c r="F8" i="13"/>
  <c r="E12" i="13"/>
  <c r="G15" i="13"/>
  <c r="F20" i="13"/>
  <c r="F22" i="13"/>
  <c r="G28" i="13"/>
  <c r="E53" i="13"/>
  <c r="G56" i="13"/>
  <c r="F61" i="13"/>
  <c r="F63" i="13"/>
  <c r="I26" i="13"/>
  <c r="I43" i="13"/>
  <c r="I51" i="13"/>
  <c r="I59" i="13"/>
  <c r="G13" i="13"/>
  <c r="E18" i="13"/>
  <c r="G21" i="13"/>
  <c r="I24" i="13"/>
  <c r="E26" i="13"/>
  <c r="G29" i="13"/>
  <c r="E43" i="13"/>
  <c r="G46" i="13"/>
  <c r="I49" i="13"/>
  <c r="E51" i="13"/>
  <c r="G54" i="13"/>
  <c r="I57" i="13"/>
  <c r="E59" i="13"/>
  <c r="G62" i="13"/>
  <c r="I65" i="13"/>
  <c r="I8" i="13"/>
  <c r="E10" i="13"/>
  <c r="G11" i="13"/>
  <c r="E16" i="13"/>
  <c r="F18" i="13"/>
  <c r="G19" i="13"/>
  <c r="E24" i="13"/>
  <c r="F26" i="13"/>
  <c r="G27" i="13"/>
  <c r="I30" i="13"/>
  <c r="F43" i="13"/>
  <c r="G44" i="13"/>
  <c r="I47" i="13"/>
  <c r="E49" i="13"/>
  <c r="F51" i="13"/>
  <c r="G52" i="13"/>
  <c r="I55" i="13"/>
  <c r="E57" i="13"/>
  <c r="F59" i="13"/>
  <c r="G60" i="13"/>
  <c r="I63" i="13"/>
  <c r="E65" i="13"/>
  <c r="E8" i="13"/>
  <c r="F10" i="13"/>
  <c r="E14" i="13"/>
  <c r="F16" i="13"/>
  <c r="G17" i="13"/>
  <c r="G18" i="13"/>
  <c r="E22" i="13"/>
  <c r="F24" i="13"/>
  <c r="G25" i="13"/>
  <c r="G26" i="13"/>
  <c r="I28" i="13"/>
  <c r="E30" i="13"/>
  <c r="G42" i="13"/>
  <c r="G43" i="13"/>
  <c r="I45" i="13"/>
  <c r="E47" i="13"/>
  <c r="F49" i="13"/>
  <c r="G50" i="13"/>
  <c r="G51" i="13"/>
  <c r="I53" i="13"/>
  <c r="E55" i="13"/>
  <c r="F57" i="13"/>
  <c r="G58" i="13"/>
  <c r="G59" i="13"/>
  <c r="I61" i="13"/>
  <c r="E63" i="13"/>
  <c r="F65" i="13"/>
  <c r="F12" i="12"/>
  <c r="E13" i="12"/>
  <c r="F20" i="12"/>
  <c r="E21" i="12"/>
  <c r="F28" i="12"/>
  <c r="E29" i="12"/>
  <c r="F45" i="12"/>
  <c r="E46" i="12"/>
  <c r="F53" i="12"/>
  <c r="E54" i="12"/>
  <c r="E62" i="12"/>
  <c r="F13" i="12"/>
  <c r="F19" i="12"/>
  <c r="G20" i="12"/>
  <c r="F27" i="12"/>
  <c r="F44" i="12"/>
  <c r="G45" i="12"/>
  <c r="F46" i="12"/>
  <c r="F52" i="12"/>
  <c r="G53" i="12"/>
  <c r="G61" i="12"/>
  <c r="F62" i="12"/>
  <c r="E64" i="12"/>
  <c r="H12" i="12"/>
  <c r="H13" i="12"/>
  <c r="H19" i="12"/>
  <c r="H21" i="12"/>
  <c r="H24" i="12"/>
  <c r="G26" i="12"/>
  <c r="H27" i="12"/>
  <c r="H28" i="12"/>
  <c r="H29" i="12"/>
  <c r="G43" i="12"/>
  <c r="H44" i="12"/>
  <c r="H46" i="12"/>
  <c r="G51" i="12"/>
  <c r="H52" i="12"/>
  <c r="H54" i="12"/>
  <c r="G59" i="12"/>
  <c r="H60" i="12"/>
  <c r="H61" i="12"/>
  <c r="H62" i="12"/>
  <c r="F64" i="12"/>
  <c r="H17" i="12"/>
  <c r="H25" i="12"/>
  <c r="H42" i="12"/>
  <c r="H50" i="12"/>
  <c r="H58" i="12"/>
  <c r="F21" i="12"/>
  <c r="F29" i="12"/>
  <c r="F54" i="12"/>
  <c r="F60" i="12"/>
  <c r="F45" i="14"/>
  <c r="F47" i="14"/>
  <c r="F55" i="14"/>
  <c r="F62" i="14"/>
  <c r="F63" i="14"/>
  <c r="F50" i="14"/>
  <c r="F51" i="14"/>
  <c r="F58" i="14"/>
  <c r="F59" i="14"/>
  <c r="F46" i="14"/>
  <c r="F54" i="14"/>
  <c r="F41" i="14"/>
  <c r="F42" i="14"/>
  <c r="F49" i="14"/>
  <c r="F53" i="14"/>
  <c r="F57" i="14"/>
  <c r="F61" i="14"/>
  <c r="H11" i="13"/>
  <c r="H19" i="13"/>
  <c r="H23" i="13"/>
  <c r="H27" i="13"/>
  <c r="H29" i="13"/>
  <c r="H42" i="13"/>
  <c r="H52" i="13"/>
  <c r="H54" i="13"/>
  <c r="H58" i="13"/>
  <c r="H64" i="13"/>
  <c r="E11" i="13"/>
  <c r="F9" i="13"/>
  <c r="F11" i="13"/>
  <c r="F13" i="13"/>
  <c r="F15" i="13"/>
  <c r="F17" i="13"/>
  <c r="F19" i="13"/>
  <c r="F21" i="13"/>
  <c r="F23" i="13"/>
  <c r="F25" i="13"/>
  <c r="F27" i="13"/>
  <c r="F29" i="13"/>
  <c r="F31" i="13"/>
  <c r="F42" i="13"/>
  <c r="F44" i="13"/>
  <c r="F46" i="13"/>
  <c r="F48" i="13"/>
  <c r="F50" i="13"/>
  <c r="F52" i="13"/>
  <c r="F54" i="13"/>
  <c r="F56" i="13"/>
  <c r="F58" i="13"/>
  <c r="F60" i="13"/>
  <c r="F62" i="13"/>
  <c r="F64" i="13"/>
  <c r="H9" i="13"/>
  <c r="H13" i="13"/>
  <c r="H15" i="13"/>
  <c r="H17" i="13"/>
  <c r="H21" i="13"/>
  <c r="H25" i="13"/>
  <c r="H31" i="13"/>
  <c r="H44" i="13"/>
  <c r="H46" i="13"/>
  <c r="H48" i="13"/>
  <c r="H50" i="13"/>
  <c r="H56" i="13"/>
  <c r="H60" i="13"/>
  <c r="H62" i="13"/>
  <c r="E13" i="13"/>
  <c r="E15" i="13"/>
  <c r="E17" i="13"/>
  <c r="E19" i="13"/>
  <c r="E21" i="13"/>
  <c r="E23" i="13"/>
  <c r="E25" i="13"/>
  <c r="E27" i="13"/>
  <c r="E29" i="13"/>
  <c r="E31" i="13"/>
  <c r="E42" i="13"/>
  <c r="E44" i="13"/>
  <c r="E46" i="13"/>
  <c r="E48" i="13"/>
  <c r="E50" i="13"/>
  <c r="E52" i="13"/>
  <c r="E54" i="13"/>
  <c r="E56" i="13"/>
  <c r="E58" i="13"/>
  <c r="E60" i="13"/>
  <c r="E62" i="13"/>
  <c r="E64" i="13"/>
  <c r="I14" i="12"/>
  <c r="E14" i="12"/>
  <c r="I22" i="12"/>
  <c r="E22" i="12"/>
  <c r="I31" i="12"/>
  <c r="I56" i="12"/>
  <c r="F14" i="12"/>
  <c r="E15" i="12"/>
  <c r="I16" i="12"/>
  <c r="E16" i="12"/>
  <c r="I17" i="12"/>
  <c r="I25" i="12"/>
  <c r="F30" i="12"/>
  <c r="E31" i="12"/>
  <c r="I41" i="12"/>
  <c r="E41" i="12"/>
  <c r="I42" i="12"/>
  <c r="F47" i="12"/>
  <c r="E48" i="12"/>
  <c r="I49" i="12"/>
  <c r="E49" i="12"/>
  <c r="I50" i="12"/>
  <c r="F55" i="12"/>
  <c r="E56" i="12"/>
  <c r="I57" i="12"/>
  <c r="E57" i="12"/>
  <c r="I58" i="12"/>
  <c r="F63" i="12"/>
  <c r="F8" i="12"/>
  <c r="I10" i="12"/>
  <c r="E10" i="12"/>
  <c r="G14" i="12"/>
  <c r="I18" i="12"/>
  <c r="E18" i="12"/>
  <c r="F31" i="12"/>
  <c r="G8" i="12"/>
  <c r="F10" i="12"/>
  <c r="I12" i="12"/>
  <c r="E12" i="12"/>
  <c r="I13" i="12"/>
  <c r="H14" i="12"/>
  <c r="H15" i="12"/>
  <c r="G16" i="12"/>
  <c r="F17" i="12"/>
  <c r="F18" i="12"/>
  <c r="E19" i="12"/>
  <c r="I20" i="12"/>
  <c r="E20" i="12"/>
  <c r="I21" i="12"/>
  <c r="H22" i="12"/>
  <c r="H23" i="12"/>
  <c r="F25" i="12"/>
  <c r="E27" i="12"/>
  <c r="I28" i="12"/>
  <c r="E28" i="12"/>
  <c r="I29" i="12"/>
  <c r="H31" i="12"/>
  <c r="G41" i="12"/>
  <c r="F42" i="12"/>
  <c r="E44" i="12"/>
  <c r="I45" i="12"/>
  <c r="E45" i="12"/>
  <c r="I46" i="12"/>
  <c r="H48" i="12"/>
  <c r="G49" i="12"/>
  <c r="F50" i="12"/>
  <c r="E52" i="12"/>
  <c r="I53" i="12"/>
  <c r="E53" i="12"/>
  <c r="I54" i="12"/>
  <c r="H56" i="12"/>
  <c r="G57" i="12"/>
  <c r="F58" i="12"/>
  <c r="E60" i="12"/>
  <c r="I61" i="12"/>
  <c r="E61" i="12"/>
  <c r="I62" i="12"/>
  <c r="H8" i="12"/>
  <c r="I15" i="12"/>
  <c r="I23" i="12"/>
  <c r="I30" i="12"/>
  <c r="E30" i="12"/>
  <c r="I47" i="12"/>
  <c r="E47" i="12"/>
  <c r="I48" i="12"/>
  <c r="I55" i="12"/>
  <c r="E55" i="12"/>
  <c r="I63" i="12"/>
  <c r="E63" i="12"/>
  <c r="E8" i="12"/>
  <c r="F22" i="12"/>
  <c r="E23" i="12"/>
  <c r="I24" i="12"/>
  <c r="E24" i="12"/>
  <c r="F15" i="12"/>
  <c r="F16" i="12"/>
  <c r="E17" i="12"/>
  <c r="I19" i="12"/>
  <c r="G22" i="12"/>
  <c r="F23" i="12"/>
  <c r="F24" i="12"/>
  <c r="E25" i="12"/>
  <c r="I26" i="12"/>
  <c r="E26" i="12"/>
  <c r="I27" i="12"/>
  <c r="G30" i="12"/>
  <c r="F41" i="12"/>
  <c r="E42" i="12"/>
  <c r="I43" i="12"/>
  <c r="E43" i="12"/>
  <c r="I44" i="12"/>
  <c r="G47" i="12"/>
  <c r="F48" i="12"/>
  <c r="F49" i="12"/>
  <c r="E50" i="12"/>
  <c r="I51" i="12"/>
  <c r="E51" i="12"/>
  <c r="I52" i="12"/>
  <c r="G55" i="12"/>
  <c r="F56" i="12"/>
  <c r="F57" i="12"/>
  <c r="E58" i="12"/>
  <c r="I59" i="12"/>
  <c r="E59" i="12"/>
  <c r="I60" i="12"/>
  <c r="G63" i="12"/>
  <c r="H64" i="12"/>
  <c r="AA140" i="15" l="1"/>
  <c r="BE140" i="15" s="1"/>
  <c r="Z140" i="15"/>
  <c r="BD140" i="15" s="1"/>
  <c r="AJ140" i="15"/>
  <c r="AD140" i="15"/>
  <c r="O140" i="15"/>
  <c r="BB140" i="15" s="1"/>
  <c r="N140" i="15"/>
  <c r="BA140" i="15" s="1"/>
  <c r="R140" i="15"/>
  <c r="U140" i="15"/>
  <c r="H68" i="14"/>
  <c r="O151" i="15"/>
  <c r="BB151" i="15" s="1"/>
  <c r="N151" i="15"/>
  <c r="BA151" i="15" s="1"/>
  <c r="R151" i="15"/>
  <c r="X151" i="15"/>
  <c r="U151" i="15"/>
  <c r="AA151" i="15"/>
  <c r="BE151" i="15" s="1"/>
  <c r="N150" i="15"/>
  <c r="BA150" i="15" s="1"/>
  <c r="O150" i="15"/>
  <c r="BB150" i="15" s="1"/>
  <c r="R150" i="15"/>
  <c r="X150" i="15"/>
  <c r="U150" i="15"/>
  <c r="AG150" i="15"/>
  <c r="AJ150" i="15"/>
  <c r="AA150" i="15"/>
  <c r="BE150" i="15" s="1"/>
  <c r="AD151" i="15"/>
  <c r="AG151" i="15"/>
  <c r="B505" i="16"/>
  <c r="B506" i="16" s="1"/>
  <c r="B120" i="17" s="1"/>
  <c r="B411" i="16" s="1"/>
  <c r="B412" i="16" s="1"/>
  <c r="B107" i="17" s="1"/>
  <c r="B197" i="17"/>
  <c r="B196" i="17"/>
  <c r="AZ147" i="15"/>
  <c r="BL147" i="15" s="1"/>
  <c r="BM147" i="15" s="1"/>
  <c r="AZ146" i="15"/>
  <c r="BL146" i="15" s="1"/>
  <c r="BM146" i="15" s="1"/>
  <c r="BL145" i="15"/>
  <c r="BM145" i="15" s="1"/>
  <c r="AM150" i="15"/>
  <c r="BH150" i="15" s="1"/>
  <c r="AV150" i="15"/>
  <c r="AY150" i="15"/>
  <c r="BK150" i="15" s="1"/>
  <c r="AL150" i="15"/>
  <c r="BG150" i="15" s="1"/>
  <c r="AP150" i="15"/>
  <c r="AS150" i="15"/>
  <c r="AS140" i="15"/>
  <c r="AL140" i="15"/>
  <c r="BG140" i="15" s="1"/>
  <c r="AV140" i="15"/>
  <c r="AM140" i="15"/>
  <c r="BH140" i="15" s="1"/>
  <c r="AP140" i="15"/>
  <c r="AY140" i="15"/>
  <c r="BK140" i="15" s="1"/>
  <c r="AL151" i="15"/>
  <c r="BG151" i="15" s="1"/>
  <c r="AV151" i="15"/>
  <c r="AM151" i="15"/>
  <c r="BH151" i="15" s="1"/>
  <c r="AS151" i="15"/>
  <c r="AP151" i="15"/>
  <c r="AY151" i="15"/>
  <c r="BK151" i="15" s="1"/>
  <c r="BL140" i="15"/>
  <c r="BM140" i="15" s="1"/>
  <c r="BM107" i="15"/>
  <c r="D30" i="14"/>
  <c r="D26" i="14"/>
  <c r="D22" i="14"/>
  <c r="D18" i="14"/>
  <c r="D14" i="14"/>
  <c r="D10" i="14"/>
  <c r="D31" i="14"/>
  <c r="D27" i="14"/>
  <c r="D23" i="14"/>
  <c r="D19" i="14"/>
  <c r="D15" i="14"/>
  <c r="D11" i="14"/>
  <c r="D24" i="14"/>
  <c r="D16" i="14"/>
  <c r="D17" i="14"/>
  <c r="D20" i="14"/>
  <c r="D29" i="14"/>
  <c r="D21" i="14"/>
  <c r="D13" i="14"/>
  <c r="D25" i="14"/>
  <c r="D9" i="14"/>
  <c r="D28" i="14"/>
  <c r="D12" i="14"/>
  <c r="E31" i="14"/>
  <c r="E27" i="14"/>
  <c r="E23" i="14"/>
  <c r="E19" i="14"/>
  <c r="E15" i="14"/>
  <c r="E11" i="14"/>
  <c r="E28" i="14"/>
  <c r="E24" i="14"/>
  <c r="E20" i="14"/>
  <c r="E16" i="14"/>
  <c r="E12" i="14"/>
  <c r="E10" i="14"/>
  <c r="E29" i="14"/>
  <c r="E13" i="14"/>
  <c r="E30" i="14"/>
  <c r="E22" i="14"/>
  <c r="E14" i="14"/>
  <c r="E25" i="14"/>
  <c r="E17" i="14"/>
  <c r="E9" i="14"/>
  <c r="E26" i="14"/>
  <c r="E18" i="14"/>
  <c r="E21" i="14"/>
  <c r="B129" i="17" l="1"/>
  <c r="B134" i="17" s="1"/>
  <c r="B144" i="17"/>
  <c r="B119" i="17"/>
  <c r="G9" i="14"/>
  <c r="H9" i="14"/>
  <c r="G13" i="14"/>
  <c r="J13" i="14"/>
  <c r="F13" i="14"/>
  <c r="I13" i="14"/>
  <c r="H13" i="14"/>
  <c r="I15" i="14"/>
  <c r="H15" i="14"/>
  <c r="G15" i="14"/>
  <c r="F15" i="14"/>
  <c r="J15" i="14"/>
  <c r="I31" i="14"/>
  <c r="H31" i="14"/>
  <c r="G31" i="14"/>
  <c r="F31" i="14"/>
  <c r="J31" i="14"/>
  <c r="J28" i="14"/>
  <c r="F28" i="14"/>
  <c r="I28" i="14"/>
  <c r="H28" i="14"/>
  <c r="G28" i="14"/>
  <c r="G21" i="14"/>
  <c r="J21" i="14"/>
  <c r="F21" i="14"/>
  <c r="I21" i="14"/>
  <c r="H21" i="14"/>
  <c r="I19" i="14"/>
  <c r="H19" i="14"/>
  <c r="F19" i="14"/>
  <c r="J19" i="14"/>
  <c r="G19" i="14"/>
  <c r="H10" i="14"/>
  <c r="G10" i="14"/>
  <c r="J10" i="14"/>
  <c r="I10" i="14"/>
  <c r="F10" i="14"/>
  <c r="H26" i="14"/>
  <c r="G26" i="14"/>
  <c r="F26" i="14"/>
  <c r="J26" i="14"/>
  <c r="I26" i="14"/>
  <c r="J9" i="14"/>
  <c r="F9" i="14"/>
  <c r="I9" i="14"/>
  <c r="G29" i="14"/>
  <c r="J29" i="14"/>
  <c r="F29" i="14"/>
  <c r="I29" i="14"/>
  <c r="H29" i="14"/>
  <c r="J24" i="14"/>
  <c r="F24" i="14"/>
  <c r="I24" i="14"/>
  <c r="H24" i="14"/>
  <c r="G24" i="14"/>
  <c r="I23" i="14"/>
  <c r="H23" i="14"/>
  <c r="J23" i="14"/>
  <c r="F23" i="14"/>
  <c r="G23" i="14"/>
  <c r="H30" i="14"/>
  <c r="G30" i="14"/>
  <c r="J30" i="14"/>
  <c r="I30" i="14"/>
  <c r="F30" i="14"/>
  <c r="G25" i="14"/>
  <c r="J25" i="14"/>
  <c r="F25" i="14"/>
  <c r="H25" i="14"/>
  <c r="I25" i="14"/>
  <c r="J20" i="14"/>
  <c r="F20" i="14"/>
  <c r="I20" i="14"/>
  <c r="H20" i="14"/>
  <c r="G20" i="14"/>
  <c r="I11" i="14"/>
  <c r="H11" i="14"/>
  <c r="J11" i="14"/>
  <c r="G11" i="14"/>
  <c r="F11" i="14"/>
  <c r="I27" i="14"/>
  <c r="H27" i="14"/>
  <c r="G27" i="14"/>
  <c r="F27" i="14"/>
  <c r="J27" i="14"/>
  <c r="H18" i="14"/>
  <c r="G18" i="14"/>
  <c r="F18" i="14"/>
  <c r="I18" i="14"/>
  <c r="J18" i="14"/>
  <c r="J12" i="14"/>
  <c r="F12" i="14"/>
  <c r="I12" i="14"/>
  <c r="H12" i="14"/>
  <c r="G12" i="14"/>
  <c r="G17" i="14"/>
  <c r="J17" i="14"/>
  <c r="F17" i="14"/>
  <c r="I17" i="14"/>
  <c r="H17" i="14"/>
  <c r="H22" i="14"/>
  <c r="G22" i="14"/>
  <c r="J22" i="14"/>
  <c r="F22" i="14"/>
  <c r="I22" i="14"/>
  <c r="J16" i="14"/>
  <c r="F16" i="14"/>
  <c r="I16" i="14"/>
  <c r="G16" i="14"/>
  <c r="H16" i="14"/>
  <c r="H14" i="14"/>
  <c r="G14" i="14"/>
  <c r="I14" i="14"/>
  <c r="J14" i="14"/>
  <c r="F14" i="14"/>
  <c r="B131" i="17" l="1"/>
  <c r="B143" i="17" s="1"/>
  <c r="B138" i="17"/>
  <c r="B187" i="17"/>
  <c r="B121" i="17"/>
  <c r="C405" i="1"/>
  <c r="D405" i="1"/>
  <c r="E405" i="1"/>
  <c r="F405" i="1"/>
  <c r="G405" i="1"/>
  <c r="H405" i="1"/>
  <c r="I405" i="1"/>
  <c r="J405" i="1"/>
  <c r="B405" i="1"/>
  <c r="C404" i="1"/>
  <c r="D404" i="1"/>
  <c r="E404" i="1"/>
  <c r="F404" i="1"/>
  <c r="G404" i="1"/>
  <c r="H404" i="1"/>
  <c r="I404" i="1"/>
  <c r="J404" i="1"/>
  <c r="B404" i="1"/>
  <c r="B135" i="17" l="1"/>
  <c r="B139" i="17"/>
  <c r="B146" i="17"/>
  <c r="B203" i="17"/>
  <c r="B188" i="17"/>
  <c r="B189" i="17"/>
  <c r="G406" i="1"/>
  <c r="G110" i="2" s="1"/>
  <c r="C406" i="1"/>
  <c r="C110" i="2" s="1"/>
  <c r="J406" i="1"/>
  <c r="J110" i="2" s="1"/>
  <c r="F406" i="1"/>
  <c r="F110" i="2" s="1"/>
  <c r="B406" i="1"/>
  <c r="B110" i="2" s="1"/>
  <c r="I406" i="1"/>
  <c r="I110" i="2" s="1"/>
  <c r="E406" i="1"/>
  <c r="E110" i="2" s="1"/>
  <c r="H406" i="1"/>
  <c r="H110" i="2" s="1"/>
  <c r="D406" i="1"/>
  <c r="D110" i="2" s="1"/>
  <c r="H380" i="1"/>
  <c r="I380" i="1"/>
  <c r="J380" i="1"/>
  <c r="H379" i="1"/>
  <c r="I379" i="1"/>
  <c r="J379" i="1"/>
  <c r="C391" i="1"/>
  <c r="D391" i="1"/>
  <c r="E391" i="1"/>
  <c r="F391" i="1"/>
  <c r="G391" i="1"/>
  <c r="H391" i="1"/>
  <c r="I391" i="1"/>
  <c r="J391" i="1"/>
  <c r="B391" i="1"/>
  <c r="C387" i="1"/>
  <c r="C388" i="1" s="1"/>
  <c r="D387" i="1"/>
  <c r="E387" i="1"/>
  <c r="E388" i="1" s="1"/>
  <c r="F387" i="1"/>
  <c r="F388" i="1" s="1"/>
  <c r="G387" i="1"/>
  <c r="G388" i="1" s="1"/>
  <c r="H387" i="1"/>
  <c r="H388" i="1" s="1"/>
  <c r="I387" i="1"/>
  <c r="I388" i="1" s="1"/>
  <c r="J387" i="1"/>
  <c r="J388" i="1" s="1"/>
  <c r="B387" i="1"/>
  <c r="B388" i="1" s="1"/>
  <c r="D388" i="1"/>
  <c r="C382" i="1"/>
  <c r="D382" i="1"/>
  <c r="B382" i="1"/>
  <c r="J383" i="1"/>
  <c r="J384" i="1" s="1"/>
  <c r="I383" i="1"/>
  <c r="I384" i="1" s="1"/>
  <c r="H383" i="1"/>
  <c r="H384" i="1" s="1"/>
  <c r="G383" i="1"/>
  <c r="G384" i="1" s="1"/>
  <c r="F383" i="1"/>
  <c r="F384" i="1" s="1"/>
  <c r="E383" i="1"/>
  <c r="E384" i="1" s="1"/>
  <c r="D383" i="1"/>
  <c r="C383" i="1"/>
  <c r="B383" i="1"/>
  <c r="C345" i="1"/>
  <c r="D345" i="1"/>
  <c r="E345" i="1"/>
  <c r="F345" i="1"/>
  <c r="G345" i="1"/>
  <c r="H345" i="1"/>
  <c r="I345" i="1"/>
  <c r="J345" i="1"/>
  <c r="B345" i="1"/>
  <c r="C344" i="1"/>
  <c r="D344" i="1"/>
  <c r="E344" i="1"/>
  <c r="F344" i="1"/>
  <c r="G344" i="1"/>
  <c r="H344" i="1"/>
  <c r="I344" i="1"/>
  <c r="J344" i="1"/>
  <c r="B344" i="1"/>
  <c r="C348" i="1"/>
  <c r="D348" i="1"/>
  <c r="E348" i="1"/>
  <c r="F348" i="1"/>
  <c r="G348" i="1"/>
  <c r="H348" i="1"/>
  <c r="I348" i="1"/>
  <c r="J348" i="1"/>
  <c r="C347" i="1"/>
  <c r="C349" i="1" s="1"/>
  <c r="D347" i="1"/>
  <c r="E347" i="1"/>
  <c r="F347" i="1"/>
  <c r="G347" i="1"/>
  <c r="H347" i="1"/>
  <c r="I347" i="1"/>
  <c r="J347" i="1"/>
  <c r="B347" i="1"/>
  <c r="B349" i="1" s="1"/>
  <c r="C340" i="1"/>
  <c r="D340" i="1"/>
  <c r="E340" i="1"/>
  <c r="F340" i="1"/>
  <c r="G340" i="1"/>
  <c r="H340" i="1"/>
  <c r="I340" i="1"/>
  <c r="J340" i="1"/>
  <c r="B340" i="1"/>
  <c r="J341" i="1"/>
  <c r="I341" i="1"/>
  <c r="H341" i="1"/>
  <c r="G341" i="1"/>
  <c r="F341" i="1"/>
  <c r="E341" i="1"/>
  <c r="D341" i="1"/>
  <c r="C341" i="1"/>
  <c r="B341" i="1"/>
  <c r="C81" i="1"/>
  <c r="D81" i="1"/>
  <c r="E81" i="1"/>
  <c r="F81" i="1"/>
  <c r="G81" i="1"/>
  <c r="H81" i="1"/>
  <c r="I81" i="1"/>
  <c r="J81" i="1"/>
  <c r="B81" i="1"/>
  <c r="B153" i="5"/>
  <c r="B171" i="5" s="1"/>
  <c r="B118" i="5"/>
  <c r="B106" i="5"/>
  <c r="B108" i="5" s="1"/>
  <c r="B69" i="5"/>
  <c r="B119" i="5" s="1"/>
  <c r="B38" i="5"/>
  <c r="B555" i="1"/>
  <c r="C474" i="1"/>
  <c r="D474" i="1"/>
  <c r="E474" i="1"/>
  <c r="F474" i="1"/>
  <c r="G474" i="1"/>
  <c r="H474" i="1"/>
  <c r="I474" i="1"/>
  <c r="J474" i="1"/>
  <c r="B474" i="1"/>
  <c r="C297" i="1"/>
  <c r="D297" i="1"/>
  <c r="E297" i="1"/>
  <c r="F297" i="1"/>
  <c r="G297" i="1"/>
  <c r="H297" i="1"/>
  <c r="I297" i="1"/>
  <c r="J297" i="1"/>
  <c r="B297" i="1"/>
  <c r="C219" i="1"/>
  <c r="D219" i="1"/>
  <c r="E219" i="1"/>
  <c r="F219" i="1"/>
  <c r="G219" i="1"/>
  <c r="H219" i="1"/>
  <c r="I219" i="1"/>
  <c r="J219" i="1"/>
  <c r="C220" i="1"/>
  <c r="D220" i="1"/>
  <c r="D221" i="1" s="1"/>
  <c r="E220" i="1"/>
  <c r="F220" i="1"/>
  <c r="G220" i="1"/>
  <c r="H220" i="1"/>
  <c r="H221" i="1" s="1"/>
  <c r="I220" i="1"/>
  <c r="J220" i="1"/>
  <c r="C216" i="1"/>
  <c r="D216" i="1"/>
  <c r="E216" i="1"/>
  <c r="F216" i="1"/>
  <c r="G216" i="1"/>
  <c r="H216" i="1"/>
  <c r="I216" i="1"/>
  <c r="J216" i="1"/>
  <c r="C195" i="1"/>
  <c r="D195" i="1"/>
  <c r="E195" i="1"/>
  <c r="F195" i="1"/>
  <c r="G195" i="1"/>
  <c r="H195" i="1"/>
  <c r="I195" i="1"/>
  <c r="J195" i="1"/>
  <c r="C198" i="1"/>
  <c r="D198" i="1"/>
  <c r="E198" i="1"/>
  <c r="F198" i="1"/>
  <c r="G198" i="1"/>
  <c r="H198" i="1"/>
  <c r="I198" i="1"/>
  <c r="J198" i="1"/>
  <c r="C199" i="1"/>
  <c r="C200" i="1" s="1"/>
  <c r="D199" i="1"/>
  <c r="D200" i="1" s="1"/>
  <c r="E199" i="1"/>
  <c r="F199" i="1"/>
  <c r="G199" i="1"/>
  <c r="H199" i="1"/>
  <c r="H200" i="1" s="1"/>
  <c r="I199" i="1"/>
  <c r="I200" i="1" s="1"/>
  <c r="J199" i="1"/>
  <c r="J200" i="1" s="1"/>
  <c r="C175" i="1"/>
  <c r="D175" i="1"/>
  <c r="E175" i="1"/>
  <c r="F175" i="1"/>
  <c r="G175" i="1"/>
  <c r="H175" i="1"/>
  <c r="I175" i="1"/>
  <c r="J175" i="1"/>
  <c r="C174" i="1"/>
  <c r="C176" i="1" s="1"/>
  <c r="D174" i="1"/>
  <c r="D176" i="1" s="1"/>
  <c r="E174" i="1"/>
  <c r="E176" i="1" s="1"/>
  <c r="F174" i="1"/>
  <c r="F176" i="1" s="1"/>
  <c r="G174" i="1"/>
  <c r="G176" i="1" s="1"/>
  <c r="H174" i="1"/>
  <c r="H176" i="1" s="1"/>
  <c r="I174" i="1"/>
  <c r="I176" i="1" s="1"/>
  <c r="J174" i="1"/>
  <c r="J176" i="1" s="1"/>
  <c r="C171" i="1"/>
  <c r="D171" i="1"/>
  <c r="E171" i="1"/>
  <c r="F171" i="1"/>
  <c r="G171" i="1"/>
  <c r="H171" i="1"/>
  <c r="I171" i="1"/>
  <c r="J171" i="1"/>
  <c r="C154" i="1"/>
  <c r="C155" i="1" s="1"/>
  <c r="D154" i="1"/>
  <c r="D155" i="1" s="1"/>
  <c r="E154" i="1"/>
  <c r="E155" i="1" s="1"/>
  <c r="F154" i="1"/>
  <c r="F155" i="1" s="1"/>
  <c r="G154" i="1"/>
  <c r="G155" i="1" s="1"/>
  <c r="H154" i="1"/>
  <c r="H155" i="1" s="1"/>
  <c r="I154" i="1"/>
  <c r="I155" i="1" s="1"/>
  <c r="J154" i="1"/>
  <c r="J155" i="1" s="1"/>
  <c r="C6" i="1"/>
  <c r="D6" i="1"/>
  <c r="E6" i="1"/>
  <c r="F6" i="1"/>
  <c r="G6" i="1"/>
  <c r="H6" i="1"/>
  <c r="I6" i="1"/>
  <c r="J6" i="1"/>
  <c r="B6" i="1"/>
  <c r="B6" i="2" s="1"/>
  <c r="E11" i="1"/>
  <c r="H335" i="1"/>
  <c r="H334" i="1"/>
  <c r="H333" i="1"/>
  <c r="H332" i="1"/>
  <c r="H320" i="1"/>
  <c r="J320" i="1"/>
  <c r="I320" i="1"/>
  <c r="C43" i="2"/>
  <c r="D43" i="2"/>
  <c r="E43" i="2"/>
  <c r="F43" i="2"/>
  <c r="G43" i="2"/>
  <c r="I43" i="2"/>
  <c r="J43" i="2"/>
  <c r="B43" i="2"/>
  <c r="C42" i="2"/>
  <c r="D42" i="2"/>
  <c r="E42" i="2"/>
  <c r="F42" i="2"/>
  <c r="G42" i="2"/>
  <c r="H42" i="2"/>
  <c r="I42" i="2"/>
  <c r="J42" i="2"/>
  <c r="H397" i="1"/>
  <c r="G397" i="1"/>
  <c r="F397" i="1"/>
  <c r="E397" i="1"/>
  <c r="J335" i="1"/>
  <c r="I335" i="1"/>
  <c r="J334" i="1"/>
  <c r="I334" i="1"/>
  <c r="J333" i="1"/>
  <c r="I333" i="1"/>
  <c r="J332" i="1"/>
  <c r="I332" i="1"/>
  <c r="B2" i="2"/>
  <c r="C2" i="2"/>
  <c r="D2" i="2"/>
  <c r="E2" i="2"/>
  <c r="F2" i="2"/>
  <c r="G2" i="2"/>
  <c r="H2" i="2"/>
  <c r="I2" i="2"/>
  <c r="J2" i="2"/>
  <c r="B32" i="1"/>
  <c r="C113" i="1"/>
  <c r="D113" i="1"/>
  <c r="E113" i="1"/>
  <c r="F113" i="1"/>
  <c r="G113" i="1"/>
  <c r="H113" i="1"/>
  <c r="I113" i="1"/>
  <c r="J113" i="1"/>
  <c r="B113" i="1"/>
  <c r="B105" i="1"/>
  <c r="C555" i="1"/>
  <c r="D555" i="1"/>
  <c r="E555" i="1"/>
  <c r="F555" i="1"/>
  <c r="G555" i="1"/>
  <c r="H555" i="1"/>
  <c r="I555" i="1"/>
  <c r="J555" i="1"/>
  <c r="C556" i="1"/>
  <c r="D556" i="1"/>
  <c r="E556" i="1"/>
  <c r="F556" i="1"/>
  <c r="G556" i="1"/>
  <c r="H556" i="1"/>
  <c r="I556" i="1"/>
  <c r="J556" i="1"/>
  <c r="C557" i="1"/>
  <c r="D557" i="1"/>
  <c r="E557" i="1"/>
  <c r="F557" i="1"/>
  <c r="G557" i="1"/>
  <c r="H557" i="1"/>
  <c r="I557" i="1"/>
  <c r="J557" i="1"/>
  <c r="C558" i="1"/>
  <c r="D558" i="1"/>
  <c r="E558" i="1"/>
  <c r="F558" i="1"/>
  <c r="G558" i="1"/>
  <c r="H558" i="1"/>
  <c r="I558" i="1"/>
  <c r="J558" i="1"/>
  <c r="B557" i="1"/>
  <c r="B556" i="1"/>
  <c r="C587" i="1"/>
  <c r="D587" i="1"/>
  <c r="E587" i="1"/>
  <c r="F587" i="1"/>
  <c r="G587" i="1"/>
  <c r="H587" i="1"/>
  <c r="I587" i="1"/>
  <c r="J587" i="1"/>
  <c r="B587" i="1"/>
  <c r="C586" i="1"/>
  <c r="C592" i="1" s="1"/>
  <c r="D586" i="1"/>
  <c r="D592" i="1" s="1"/>
  <c r="E586" i="1"/>
  <c r="E592" i="1" s="1"/>
  <c r="F586" i="1"/>
  <c r="F592" i="1" s="1"/>
  <c r="G586" i="1"/>
  <c r="G592" i="1" s="1"/>
  <c r="H586" i="1"/>
  <c r="H592" i="1" s="1"/>
  <c r="I586" i="1"/>
  <c r="I592" i="1" s="1"/>
  <c r="J586" i="1"/>
  <c r="J592" i="1" s="1"/>
  <c r="B586" i="1"/>
  <c r="B592" i="1" s="1"/>
  <c r="A5" i="2"/>
  <c r="B5" i="2"/>
  <c r="C5" i="2"/>
  <c r="D5" i="2"/>
  <c r="A6" i="2"/>
  <c r="A7" i="2"/>
  <c r="A9" i="2"/>
  <c r="B9" i="2"/>
  <c r="C9" i="2"/>
  <c r="D9" i="2"/>
  <c r="E9" i="2"/>
  <c r="F9" i="2"/>
  <c r="G9" i="2"/>
  <c r="H9" i="2"/>
  <c r="I9" i="2"/>
  <c r="J9" i="2"/>
  <c r="A11" i="2"/>
  <c r="A13" i="2"/>
  <c r="B13" i="2"/>
  <c r="C13" i="2"/>
  <c r="D13" i="2"/>
  <c r="E13" i="2"/>
  <c r="F13" i="2"/>
  <c r="G13" i="2"/>
  <c r="H13" i="2"/>
  <c r="I13" i="2"/>
  <c r="J13" i="2"/>
  <c r="A14" i="2"/>
  <c r="A15" i="2"/>
  <c r="B15" i="2"/>
  <c r="C15" i="2"/>
  <c r="D15" i="2"/>
  <c r="E15" i="2"/>
  <c r="F15" i="2"/>
  <c r="G15" i="2"/>
  <c r="H15" i="2"/>
  <c r="I15" i="2"/>
  <c r="J15" i="2"/>
  <c r="A16" i="2"/>
  <c r="B4" i="2"/>
  <c r="C4" i="2"/>
  <c r="D4" i="2"/>
  <c r="E4" i="2"/>
  <c r="F4" i="2"/>
  <c r="G4" i="2"/>
  <c r="H4" i="2"/>
  <c r="I4" i="2"/>
  <c r="J4" i="2"/>
  <c r="A4" i="2"/>
  <c r="C221" i="1" l="1"/>
  <c r="C256" i="1" s="1"/>
  <c r="B204" i="17"/>
  <c r="B216" i="17" s="1"/>
  <c r="B149" i="17"/>
  <c r="H349" i="1"/>
  <c r="H346" i="1"/>
  <c r="D349" i="1"/>
  <c r="E200" i="1"/>
  <c r="G346" i="1"/>
  <c r="I346" i="1"/>
  <c r="B384" i="1"/>
  <c r="G349" i="1"/>
  <c r="F349" i="1"/>
  <c r="D346" i="1"/>
  <c r="J349" i="1"/>
  <c r="D384" i="1"/>
  <c r="I349" i="1"/>
  <c r="E349" i="1"/>
  <c r="C384" i="1"/>
  <c r="F221" i="1"/>
  <c r="F258" i="1" s="1"/>
  <c r="I221" i="1"/>
  <c r="I258" i="1" s="1"/>
  <c r="C346" i="1"/>
  <c r="F200" i="1"/>
  <c r="F346" i="1"/>
  <c r="J221" i="1"/>
  <c r="J256" i="1" s="1"/>
  <c r="G200" i="1"/>
  <c r="E221" i="1"/>
  <c r="E256" i="1" s="1"/>
  <c r="B346" i="1"/>
  <c r="G221" i="1"/>
  <c r="G256" i="1" s="1"/>
  <c r="J346" i="1"/>
  <c r="E346" i="1"/>
  <c r="B591" i="1"/>
  <c r="B593" i="1" s="1"/>
  <c r="B163" i="5"/>
  <c r="B121" i="5"/>
  <c r="B156" i="5" s="1"/>
  <c r="I336" i="1"/>
  <c r="I103" i="2" s="1"/>
  <c r="H336" i="1"/>
  <c r="H103" i="2" s="1"/>
  <c r="B167" i="5"/>
  <c r="J336" i="1"/>
  <c r="J103" i="2" s="1"/>
  <c r="H12" i="1"/>
  <c r="H11" i="1"/>
  <c r="G12" i="1"/>
  <c r="G11" i="1"/>
  <c r="F12" i="1"/>
  <c r="F11" i="1"/>
  <c r="E12" i="1"/>
  <c r="C17" i="1"/>
  <c r="D17" i="1"/>
  <c r="I17" i="1"/>
  <c r="J17" i="1"/>
  <c r="B17" i="1"/>
  <c r="A510" i="1"/>
  <c r="A511" i="1"/>
  <c r="A512" i="1"/>
  <c r="A513" i="1"/>
  <c r="A514" i="1"/>
  <c r="A509" i="1"/>
  <c r="E412" i="1"/>
  <c r="F412" i="1"/>
  <c r="G412" i="1"/>
  <c r="H412" i="1"/>
  <c r="I412" i="1"/>
  <c r="J412" i="1"/>
  <c r="B219" i="1"/>
  <c r="B220" i="1"/>
  <c r="B199" i="1"/>
  <c r="B198" i="1"/>
  <c r="B175" i="1"/>
  <c r="B174" i="1"/>
  <c r="B154" i="1"/>
  <c r="B153" i="1"/>
  <c r="C409" i="1"/>
  <c r="D409" i="1"/>
  <c r="B409" i="1"/>
  <c r="C408" i="1"/>
  <c r="D408" i="1"/>
  <c r="E408" i="1"/>
  <c r="F408" i="1"/>
  <c r="G408" i="1"/>
  <c r="H408" i="1"/>
  <c r="I408" i="1"/>
  <c r="J408" i="1"/>
  <c r="B408" i="1"/>
  <c r="C400" i="1"/>
  <c r="C402" i="1" s="1"/>
  <c r="C109" i="2" s="1"/>
  <c r="D400" i="1"/>
  <c r="D402" i="1" s="1"/>
  <c r="D109" i="2" s="1"/>
  <c r="E400" i="1"/>
  <c r="E402" i="1" s="1"/>
  <c r="E109" i="2" s="1"/>
  <c r="F400" i="1"/>
  <c r="F402" i="1" s="1"/>
  <c r="F109" i="2" s="1"/>
  <c r="G400" i="1"/>
  <c r="G402" i="1" s="1"/>
  <c r="G109" i="2" s="1"/>
  <c r="H400" i="1"/>
  <c r="H402" i="1" s="1"/>
  <c r="H109" i="2" s="1"/>
  <c r="I400" i="1"/>
  <c r="I402" i="1" s="1"/>
  <c r="I109" i="2" s="1"/>
  <c r="J400" i="1"/>
  <c r="J402" i="1" s="1"/>
  <c r="J109" i="2" s="1"/>
  <c r="B400" i="1"/>
  <c r="B402" i="1" s="1"/>
  <c r="B109" i="2" s="1"/>
  <c r="C397" i="1"/>
  <c r="C398" i="1" s="1"/>
  <c r="C108" i="2" s="1"/>
  <c r="D397" i="1"/>
  <c r="D398" i="1" s="1"/>
  <c r="D108" i="2" s="1"/>
  <c r="E398" i="1"/>
  <c r="E108" i="2" s="1"/>
  <c r="F398" i="1"/>
  <c r="F108" i="2" s="1"/>
  <c r="G398" i="1"/>
  <c r="G108" i="2" s="1"/>
  <c r="H398" i="1"/>
  <c r="H108" i="2" s="1"/>
  <c r="I398" i="1"/>
  <c r="I108" i="2" s="1"/>
  <c r="J398" i="1"/>
  <c r="J108" i="2" s="1"/>
  <c r="B397" i="1"/>
  <c r="B398" i="1" s="1"/>
  <c r="B108" i="2" s="1"/>
  <c r="C379" i="1"/>
  <c r="D379" i="1"/>
  <c r="E379" i="1"/>
  <c r="F379" i="1"/>
  <c r="G379" i="1"/>
  <c r="B379" i="1"/>
  <c r="C375" i="1"/>
  <c r="D375" i="1"/>
  <c r="E375" i="1"/>
  <c r="F375" i="1"/>
  <c r="G375" i="1"/>
  <c r="H375" i="1"/>
  <c r="I375" i="1"/>
  <c r="J375" i="1"/>
  <c r="B375" i="1"/>
  <c r="C374" i="1"/>
  <c r="D374" i="1"/>
  <c r="E374" i="1"/>
  <c r="F374" i="1"/>
  <c r="G374" i="1"/>
  <c r="H374" i="1"/>
  <c r="I374" i="1"/>
  <c r="J374" i="1"/>
  <c r="B374" i="1"/>
  <c r="C371" i="1"/>
  <c r="C372" i="1" s="1"/>
  <c r="D371" i="1"/>
  <c r="D372" i="1" s="1"/>
  <c r="E372" i="1"/>
  <c r="F372" i="1"/>
  <c r="G372" i="1"/>
  <c r="H372" i="1"/>
  <c r="I372" i="1"/>
  <c r="J372" i="1"/>
  <c r="B371" i="1"/>
  <c r="B372" i="1" s="1"/>
  <c r="C322" i="1"/>
  <c r="C101" i="2" s="1"/>
  <c r="D322" i="1"/>
  <c r="D101" i="2" s="1"/>
  <c r="E322" i="1"/>
  <c r="E101" i="2" s="1"/>
  <c r="F322" i="1"/>
  <c r="F101" i="2" s="1"/>
  <c r="G322" i="1"/>
  <c r="G101" i="2" s="1"/>
  <c r="H322" i="1"/>
  <c r="H101" i="2" s="1"/>
  <c r="I322" i="1"/>
  <c r="I101" i="2" s="1"/>
  <c r="J322" i="1"/>
  <c r="J101" i="2" s="1"/>
  <c r="B322" i="1"/>
  <c r="B101" i="2" s="1"/>
  <c r="B360" i="1"/>
  <c r="C343" i="1"/>
  <c r="D343" i="1"/>
  <c r="E343" i="1"/>
  <c r="F343" i="1"/>
  <c r="G343" i="1"/>
  <c r="H343" i="1"/>
  <c r="I343" i="1"/>
  <c r="J343" i="1"/>
  <c r="B343" i="1"/>
  <c r="C338" i="1"/>
  <c r="D338" i="1"/>
  <c r="E338" i="1"/>
  <c r="F338" i="1"/>
  <c r="G338" i="1"/>
  <c r="H338" i="1"/>
  <c r="I338" i="1"/>
  <c r="J338" i="1"/>
  <c r="C336" i="1"/>
  <c r="C103" i="2" s="1"/>
  <c r="D336" i="1"/>
  <c r="D103" i="2" s="1"/>
  <c r="E336" i="1"/>
  <c r="E103" i="2" s="1"/>
  <c r="F336" i="1"/>
  <c r="F103" i="2" s="1"/>
  <c r="G336" i="1"/>
  <c r="G103" i="2" s="1"/>
  <c r="B336" i="1"/>
  <c r="B103" i="2" s="1"/>
  <c r="C329" i="1"/>
  <c r="D329" i="1"/>
  <c r="E329" i="1"/>
  <c r="F329" i="1"/>
  <c r="G329" i="1"/>
  <c r="H329" i="1"/>
  <c r="I329" i="1"/>
  <c r="J329" i="1"/>
  <c r="B329" i="1"/>
  <c r="C328" i="1"/>
  <c r="D328" i="1"/>
  <c r="E328" i="1"/>
  <c r="F328" i="1"/>
  <c r="G328" i="1"/>
  <c r="H328" i="1"/>
  <c r="I328" i="1"/>
  <c r="J328" i="1"/>
  <c r="B328" i="1"/>
  <c r="C327" i="1"/>
  <c r="D327" i="1"/>
  <c r="E327" i="1"/>
  <c r="F327" i="1"/>
  <c r="G327" i="1"/>
  <c r="H327" i="1"/>
  <c r="I327" i="1"/>
  <c r="J327" i="1"/>
  <c r="B327" i="1"/>
  <c r="D326" i="1"/>
  <c r="E326" i="1"/>
  <c r="F326" i="1"/>
  <c r="G326" i="1"/>
  <c r="H326" i="1"/>
  <c r="I326" i="1"/>
  <c r="J326" i="1"/>
  <c r="C326" i="1"/>
  <c r="B326" i="1"/>
  <c r="J313" i="1"/>
  <c r="J315" i="1" s="1"/>
  <c r="J100" i="2" s="1"/>
  <c r="I313" i="1"/>
  <c r="I315" i="1" s="1"/>
  <c r="I100" i="2" s="1"/>
  <c r="H313" i="1"/>
  <c r="H315" i="1" s="1"/>
  <c r="H100" i="2" s="1"/>
  <c r="G313" i="1"/>
  <c r="G315" i="1" s="1"/>
  <c r="G100" i="2" s="1"/>
  <c r="F313" i="1"/>
  <c r="F315" i="1" s="1"/>
  <c r="F100" i="2" s="1"/>
  <c r="E313" i="1"/>
  <c r="E315" i="1" s="1"/>
  <c r="E100" i="2" s="1"/>
  <c r="D313" i="1"/>
  <c r="D315" i="1" s="1"/>
  <c r="D100" i="2" s="1"/>
  <c r="C313" i="1"/>
  <c r="C315" i="1" s="1"/>
  <c r="C100" i="2" s="1"/>
  <c r="B313" i="1"/>
  <c r="B315" i="1" s="1"/>
  <c r="B100" i="2" s="1"/>
  <c r="J299" i="1"/>
  <c r="I299" i="1"/>
  <c r="H299" i="1"/>
  <c r="G299" i="1"/>
  <c r="F299" i="1"/>
  <c r="E299" i="1"/>
  <c r="D299" i="1"/>
  <c r="C299" i="1"/>
  <c r="B299" i="1"/>
  <c r="C295" i="1"/>
  <c r="C298" i="1" s="1"/>
  <c r="D295" i="1"/>
  <c r="D298" i="1" s="1"/>
  <c r="E295" i="1"/>
  <c r="E298" i="1" s="1"/>
  <c r="F295" i="1"/>
  <c r="F298" i="1" s="1"/>
  <c r="F300" i="1" s="1"/>
  <c r="G295" i="1"/>
  <c r="G298" i="1" s="1"/>
  <c r="H295" i="1"/>
  <c r="H298" i="1" s="1"/>
  <c r="I295" i="1"/>
  <c r="I298" i="1" s="1"/>
  <c r="J295" i="1"/>
  <c r="J298" i="1" s="1"/>
  <c r="J300" i="1" s="1"/>
  <c r="B295" i="1"/>
  <c r="B298" i="1" s="1"/>
  <c r="D256" i="1"/>
  <c r="H256" i="1"/>
  <c r="D258" i="1"/>
  <c r="H258" i="1"/>
  <c r="C241" i="1"/>
  <c r="D241" i="1"/>
  <c r="E241" i="1"/>
  <c r="F241" i="1"/>
  <c r="G241" i="1"/>
  <c r="H241" i="1"/>
  <c r="I241" i="1"/>
  <c r="J241" i="1"/>
  <c r="C243" i="1"/>
  <c r="D243" i="1"/>
  <c r="E243" i="1"/>
  <c r="F243" i="1"/>
  <c r="G243" i="1"/>
  <c r="H243" i="1"/>
  <c r="I243" i="1"/>
  <c r="J243" i="1"/>
  <c r="C235" i="1"/>
  <c r="D235" i="1"/>
  <c r="E235" i="1"/>
  <c r="F235" i="1"/>
  <c r="G235" i="1"/>
  <c r="H235" i="1"/>
  <c r="I235" i="1"/>
  <c r="J235" i="1"/>
  <c r="C237" i="1"/>
  <c r="D237" i="1"/>
  <c r="E237" i="1"/>
  <c r="F237" i="1"/>
  <c r="G237" i="1"/>
  <c r="H237" i="1"/>
  <c r="I237" i="1"/>
  <c r="J237" i="1"/>
  <c r="D209" i="1"/>
  <c r="D455" i="1" s="1"/>
  <c r="D457" i="1" s="1"/>
  <c r="C209" i="1"/>
  <c r="C455" i="1" s="1"/>
  <c r="C457" i="1" s="1"/>
  <c r="B209" i="1"/>
  <c r="B455" i="1" s="1"/>
  <c r="B457" i="1" s="1"/>
  <c r="B185" i="1"/>
  <c r="B441" i="1" s="1"/>
  <c r="B443" i="1" s="1"/>
  <c r="B183" i="1"/>
  <c r="J183" i="1"/>
  <c r="J438" i="1" s="1"/>
  <c r="J440" i="1" s="1"/>
  <c r="I183" i="1"/>
  <c r="I438" i="1" s="1"/>
  <c r="I440" i="1" s="1"/>
  <c r="H183" i="1"/>
  <c r="H438" i="1" s="1"/>
  <c r="H440" i="1" s="1"/>
  <c r="G183" i="1"/>
  <c r="G438" i="1" s="1"/>
  <c r="G440" i="1" s="1"/>
  <c r="F183" i="1"/>
  <c r="F438" i="1" s="1"/>
  <c r="F440" i="1" s="1"/>
  <c r="E183" i="1"/>
  <c r="E438" i="1" s="1"/>
  <c r="E440" i="1" s="1"/>
  <c r="D183" i="1"/>
  <c r="D438" i="1" s="1"/>
  <c r="D440" i="1" s="1"/>
  <c r="C183" i="1"/>
  <c r="C438" i="1" s="1"/>
  <c r="C440" i="1" s="1"/>
  <c r="C230" i="1"/>
  <c r="C468" i="1" s="1"/>
  <c r="C470" i="1" s="1"/>
  <c r="B230" i="1"/>
  <c r="B468" i="1" s="1"/>
  <c r="B470" i="1" s="1"/>
  <c r="J230" i="1"/>
  <c r="J468" i="1" s="1"/>
  <c r="J470" i="1" s="1"/>
  <c r="I230" i="1"/>
  <c r="I468" i="1" s="1"/>
  <c r="I470" i="1" s="1"/>
  <c r="H230" i="1"/>
  <c r="H468" i="1" s="1"/>
  <c r="H470" i="1" s="1"/>
  <c r="G230" i="1"/>
  <c r="G468" i="1" s="1"/>
  <c r="G470" i="1" s="1"/>
  <c r="F230" i="1"/>
  <c r="F468" i="1" s="1"/>
  <c r="F470" i="1" s="1"/>
  <c r="E230" i="1"/>
  <c r="E468" i="1" s="1"/>
  <c r="E470" i="1" s="1"/>
  <c r="D230" i="1"/>
  <c r="D468" i="1" s="1"/>
  <c r="D470" i="1" s="1"/>
  <c r="E209" i="1"/>
  <c r="E455" i="1" s="1"/>
  <c r="E457" i="1" s="1"/>
  <c r="F209" i="1"/>
  <c r="F455" i="1" s="1"/>
  <c r="F457" i="1" s="1"/>
  <c r="G209" i="1"/>
  <c r="G455" i="1" s="1"/>
  <c r="G457" i="1" s="1"/>
  <c r="H209" i="1"/>
  <c r="H455" i="1" s="1"/>
  <c r="H457" i="1" s="1"/>
  <c r="I209" i="1"/>
  <c r="I455" i="1" s="1"/>
  <c r="I457" i="1" s="1"/>
  <c r="J209" i="1"/>
  <c r="J455" i="1" s="1"/>
  <c r="J457" i="1" s="1"/>
  <c r="J185" i="1"/>
  <c r="J441" i="1" s="1"/>
  <c r="J443" i="1" s="1"/>
  <c r="I185" i="1"/>
  <c r="I441" i="1" s="1"/>
  <c r="I443" i="1" s="1"/>
  <c r="H185" i="1"/>
  <c r="H441" i="1" s="1"/>
  <c r="H443" i="1" s="1"/>
  <c r="G185" i="1"/>
  <c r="G441" i="1" s="1"/>
  <c r="G443" i="1" s="1"/>
  <c r="F185" i="1"/>
  <c r="F441" i="1" s="1"/>
  <c r="F443" i="1" s="1"/>
  <c r="E185" i="1"/>
  <c r="E441" i="1" s="1"/>
  <c r="E443" i="1" s="1"/>
  <c r="D185" i="1"/>
  <c r="D441" i="1" s="1"/>
  <c r="D443" i="1" s="1"/>
  <c r="C185" i="1"/>
  <c r="C441" i="1" s="1"/>
  <c r="C443" i="1" s="1"/>
  <c r="I164" i="1"/>
  <c r="I428" i="1" s="1"/>
  <c r="I430" i="1" s="1"/>
  <c r="J164" i="1"/>
  <c r="J428" i="1" s="1"/>
  <c r="J430" i="1" s="1"/>
  <c r="H164" i="1"/>
  <c r="H428" i="1" s="1"/>
  <c r="H430" i="1" s="1"/>
  <c r="G164" i="1"/>
  <c r="G428" i="1" s="1"/>
  <c r="G430" i="1" s="1"/>
  <c r="F164" i="1"/>
  <c r="F428" i="1" s="1"/>
  <c r="F430" i="1" s="1"/>
  <c r="E164" i="1"/>
  <c r="E428" i="1" s="1"/>
  <c r="E430" i="1" s="1"/>
  <c r="D164" i="1"/>
  <c r="D428" i="1" s="1"/>
  <c r="D430" i="1" s="1"/>
  <c r="C164" i="1"/>
  <c r="C428" i="1" s="1"/>
  <c r="C430" i="1" s="1"/>
  <c r="B164" i="1"/>
  <c r="B428" i="1" s="1"/>
  <c r="B430" i="1" s="1"/>
  <c r="F228" i="1"/>
  <c r="F465" i="1" s="1"/>
  <c r="F467" i="1" s="1"/>
  <c r="G228" i="1"/>
  <c r="G465" i="1" s="1"/>
  <c r="G467" i="1" s="1"/>
  <c r="H228" i="1"/>
  <c r="H465" i="1" s="1"/>
  <c r="H467" i="1" s="1"/>
  <c r="I228" i="1"/>
  <c r="I260" i="1" s="1"/>
  <c r="E228" i="1"/>
  <c r="E465" i="1" s="1"/>
  <c r="E467" i="1" s="1"/>
  <c r="F207" i="1"/>
  <c r="F452" i="1" s="1"/>
  <c r="F454" i="1" s="1"/>
  <c r="G207" i="1"/>
  <c r="G452" i="1" s="1"/>
  <c r="G454" i="1" s="1"/>
  <c r="H207" i="1"/>
  <c r="H452" i="1" s="1"/>
  <c r="H454" i="1" s="1"/>
  <c r="I207" i="1"/>
  <c r="I452" i="1" s="1"/>
  <c r="I454" i="1" s="1"/>
  <c r="E207" i="1"/>
  <c r="F203" i="1"/>
  <c r="F204" i="1" s="1"/>
  <c r="F248" i="1" s="1"/>
  <c r="G203" i="1"/>
  <c r="G204" i="1" s="1"/>
  <c r="G248" i="1" s="1"/>
  <c r="E203" i="1"/>
  <c r="E204" i="1" s="1"/>
  <c r="E248" i="1" s="1"/>
  <c r="B195" i="1"/>
  <c r="J228" i="1"/>
  <c r="J465" i="1" s="1"/>
  <c r="J467" i="1" s="1"/>
  <c r="D228" i="1"/>
  <c r="D465" i="1" s="1"/>
  <c r="D467" i="1" s="1"/>
  <c r="C228" i="1"/>
  <c r="C465" i="1" s="1"/>
  <c r="C467" i="1" s="1"/>
  <c r="B228" i="1"/>
  <c r="J225" i="1"/>
  <c r="J257" i="1" s="1"/>
  <c r="I225" i="1"/>
  <c r="I257" i="1" s="1"/>
  <c r="H225" i="1"/>
  <c r="H257" i="1" s="1"/>
  <c r="G225" i="1"/>
  <c r="G257" i="1" s="1"/>
  <c r="F225" i="1"/>
  <c r="F257" i="1" s="1"/>
  <c r="E225" i="1"/>
  <c r="E257" i="1" s="1"/>
  <c r="D225" i="1"/>
  <c r="D257" i="1" s="1"/>
  <c r="C225" i="1"/>
  <c r="C257" i="1" s="1"/>
  <c r="B225" i="1"/>
  <c r="B257" i="1" s="1"/>
  <c r="B216" i="1"/>
  <c r="J207" i="1"/>
  <c r="J452" i="1" s="1"/>
  <c r="J454" i="1" s="1"/>
  <c r="D207" i="1"/>
  <c r="D452" i="1" s="1"/>
  <c r="D454" i="1" s="1"/>
  <c r="C207" i="1"/>
  <c r="C452" i="1" s="1"/>
  <c r="C454" i="1" s="1"/>
  <c r="B207" i="1"/>
  <c r="J204" i="1"/>
  <c r="J248" i="1" s="1"/>
  <c r="I204" i="1"/>
  <c r="I248" i="1" s="1"/>
  <c r="H204" i="1"/>
  <c r="H248" i="1" s="1"/>
  <c r="D204" i="1"/>
  <c r="D248" i="1" s="1"/>
  <c r="C204" i="1"/>
  <c r="C248" i="1" s="1"/>
  <c r="B204" i="1"/>
  <c r="B248" i="1" s="1"/>
  <c r="J180" i="1"/>
  <c r="J242" i="1" s="1"/>
  <c r="I180" i="1"/>
  <c r="I242" i="1" s="1"/>
  <c r="H180" i="1"/>
  <c r="H242" i="1" s="1"/>
  <c r="G180" i="1"/>
  <c r="G242" i="1" s="1"/>
  <c r="F180" i="1"/>
  <c r="F242" i="1" s="1"/>
  <c r="E180" i="1"/>
  <c r="E242" i="1" s="1"/>
  <c r="D180" i="1"/>
  <c r="D242" i="1" s="1"/>
  <c r="C180" i="1"/>
  <c r="C242" i="1" s="1"/>
  <c r="B180" i="1"/>
  <c r="B242" i="1" s="1"/>
  <c r="B171" i="1"/>
  <c r="C159" i="1"/>
  <c r="C236" i="1" s="1"/>
  <c r="D159" i="1"/>
  <c r="D236" i="1" s="1"/>
  <c r="E159" i="1"/>
  <c r="E236" i="1" s="1"/>
  <c r="F159" i="1"/>
  <c r="F236" i="1" s="1"/>
  <c r="G159" i="1"/>
  <c r="G236" i="1" s="1"/>
  <c r="H159" i="1"/>
  <c r="H236" i="1" s="1"/>
  <c r="I159" i="1"/>
  <c r="I236" i="1" s="1"/>
  <c r="J159" i="1"/>
  <c r="J236" i="1" s="1"/>
  <c r="C162" i="1"/>
  <c r="C425" i="1" s="1"/>
  <c r="C427" i="1" s="1"/>
  <c r="D162" i="1"/>
  <c r="E162" i="1"/>
  <c r="E425" i="1" s="1"/>
  <c r="E427" i="1" s="1"/>
  <c r="F162" i="1"/>
  <c r="F425" i="1" s="1"/>
  <c r="F427" i="1" s="1"/>
  <c r="G162" i="1"/>
  <c r="G425" i="1" s="1"/>
  <c r="G427" i="1" s="1"/>
  <c r="H162" i="1"/>
  <c r="I162" i="1"/>
  <c r="I425" i="1" s="1"/>
  <c r="I427" i="1" s="1"/>
  <c r="J162" i="1"/>
  <c r="J425" i="1" s="1"/>
  <c r="J427" i="1" s="1"/>
  <c r="B162" i="1"/>
  <c r="B159" i="1"/>
  <c r="B236" i="1" s="1"/>
  <c r="B150" i="1"/>
  <c r="E285" i="1"/>
  <c r="F285" i="1"/>
  <c r="G285" i="1"/>
  <c r="H285" i="1"/>
  <c r="I285" i="1"/>
  <c r="J285" i="1"/>
  <c r="D285" i="1"/>
  <c r="C285" i="1"/>
  <c r="B285" i="1"/>
  <c r="C45" i="2"/>
  <c r="C74" i="2" s="1"/>
  <c r="D45" i="2"/>
  <c r="D74" i="2" s="1"/>
  <c r="E45" i="2"/>
  <c r="E74" i="2" s="1"/>
  <c r="F45" i="2"/>
  <c r="F74" i="2" s="1"/>
  <c r="G45" i="2"/>
  <c r="G74" i="2" s="1"/>
  <c r="H45" i="2"/>
  <c r="H74" i="2" s="1"/>
  <c r="I45" i="2"/>
  <c r="I74" i="2" s="1"/>
  <c r="J45" i="2"/>
  <c r="J74" i="2" s="1"/>
  <c r="C46" i="2"/>
  <c r="C75" i="2" s="1"/>
  <c r="D46" i="2"/>
  <c r="D75" i="2" s="1"/>
  <c r="E46" i="2"/>
  <c r="E75" i="2" s="1"/>
  <c r="F46" i="2"/>
  <c r="F75" i="2" s="1"/>
  <c r="G46" i="2"/>
  <c r="G75" i="2" s="1"/>
  <c r="H46" i="2"/>
  <c r="H75" i="2" s="1"/>
  <c r="I46" i="2"/>
  <c r="I75" i="2" s="1"/>
  <c r="J46" i="2"/>
  <c r="J75" i="2" s="1"/>
  <c r="C47" i="2"/>
  <c r="C76" i="2" s="1"/>
  <c r="D47" i="2"/>
  <c r="D76" i="2" s="1"/>
  <c r="E47" i="2"/>
  <c r="E76" i="2" s="1"/>
  <c r="F47" i="2"/>
  <c r="F76" i="2" s="1"/>
  <c r="G47" i="2"/>
  <c r="G76" i="2" s="1"/>
  <c r="H47" i="2"/>
  <c r="H76" i="2" s="1"/>
  <c r="I47" i="2"/>
  <c r="I76" i="2" s="1"/>
  <c r="J47" i="2"/>
  <c r="J76" i="2" s="1"/>
  <c r="B47" i="2"/>
  <c r="B76" i="2" s="1"/>
  <c r="B46" i="2"/>
  <c r="B75" i="2" s="1"/>
  <c r="B45" i="2"/>
  <c r="B74" i="2" s="1"/>
  <c r="C34" i="2"/>
  <c r="D34" i="2"/>
  <c r="E34" i="2"/>
  <c r="F34" i="2"/>
  <c r="G34" i="2"/>
  <c r="H34" i="2"/>
  <c r="I34" i="2"/>
  <c r="J34" i="2"/>
  <c r="C35" i="2"/>
  <c r="D35" i="2"/>
  <c r="E35" i="2"/>
  <c r="F35" i="2"/>
  <c r="G35" i="2"/>
  <c r="H35" i="2"/>
  <c r="I35" i="2"/>
  <c r="J35" i="2"/>
  <c r="C36" i="2"/>
  <c r="C65" i="2" s="1"/>
  <c r="D36" i="2"/>
  <c r="D65" i="2" s="1"/>
  <c r="E36" i="2"/>
  <c r="E65" i="2" s="1"/>
  <c r="F36" i="2"/>
  <c r="F65" i="2" s="1"/>
  <c r="G36" i="2"/>
  <c r="G65" i="2" s="1"/>
  <c r="H36" i="2"/>
  <c r="H65" i="2" s="1"/>
  <c r="I36" i="2"/>
  <c r="I65" i="2" s="1"/>
  <c r="J36" i="2"/>
  <c r="J65" i="2" s="1"/>
  <c r="C37" i="2"/>
  <c r="C66" i="2" s="1"/>
  <c r="D37" i="2"/>
  <c r="D66" i="2" s="1"/>
  <c r="E37" i="2"/>
  <c r="E66" i="2" s="1"/>
  <c r="F37" i="2"/>
  <c r="F66" i="2" s="1"/>
  <c r="G37" i="2"/>
  <c r="G66" i="2" s="1"/>
  <c r="H37" i="2"/>
  <c r="H66" i="2" s="1"/>
  <c r="I37" i="2"/>
  <c r="I66" i="2" s="1"/>
  <c r="J37" i="2"/>
  <c r="J66" i="2" s="1"/>
  <c r="C38" i="2"/>
  <c r="C67" i="2" s="1"/>
  <c r="D38" i="2"/>
  <c r="D67" i="2" s="1"/>
  <c r="E38" i="2"/>
  <c r="E67" i="2" s="1"/>
  <c r="F38" i="2"/>
  <c r="F67" i="2" s="1"/>
  <c r="G38" i="2"/>
  <c r="G67" i="2" s="1"/>
  <c r="H38" i="2"/>
  <c r="H67" i="2" s="1"/>
  <c r="I38" i="2"/>
  <c r="I67" i="2" s="1"/>
  <c r="J38" i="2"/>
  <c r="J67" i="2" s="1"/>
  <c r="C39" i="2"/>
  <c r="D39" i="2"/>
  <c r="E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B42" i="2"/>
  <c r="B41" i="2"/>
  <c r="B40" i="2"/>
  <c r="B39" i="2"/>
  <c r="B38" i="2"/>
  <c r="B67" i="2" s="1"/>
  <c r="B36" i="2"/>
  <c r="B65" i="2" s="1"/>
  <c r="B37" i="2"/>
  <c r="B66" i="2" s="1"/>
  <c r="B35" i="2"/>
  <c r="B34" i="2"/>
  <c r="J44" i="1"/>
  <c r="I44" i="1"/>
  <c r="H44" i="1"/>
  <c r="G44" i="1"/>
  <c r="F44" i="1"/>
  <c r="E44" i="1"/>
  <c r="D44" i="1"/>
  <c r="C44" i="1"/>
  <c r="J43" i="1"/>
  <c r="I43" i="1"/>
  <c r="H43" i="1"/>
  <c r="G43" i="1"/>
  <c r="F43" i="1"/>
  <c r="E43" i="1"/>
  <c r="D43" i="1"/>
  <c r="C43" i="1"/>
  <c r="J42" i="1"/>
  <c r="I42" i="1"/>
  <c r="H42" i="1"/>
  <c r="G42" i="1"/>
  <c r="F42" i="1"/>
  <c r="E42" i="1"/>
  <c r="D42" i="1"/>
  <c r="C42" i="1"/>
  <c r="B43" i="1"/>
  <c r="B44" i="1"/>
  <c r="B42" i="1"/>
  <c r="C530" i="1"/>
  <c r="D530" i="1"/>
  <c r="E530" i="1"/>
  <c r="F530" i="1"/>
  <c r="G530" i="1"/>
  <c r="H530" i="1"/>
  <c r="I530" i="1"/>
  <c r="J530" i="1"/>
  <c r="B530" i="1"/>
  <c r="C528" i="1"/>
  <c r="D528" i="1"/>
  <c r="D533" i="1" s="1"/>
  <c r="E528" i="1"/>
  <c r="E533" i="1" s="1"/>
  <c r="F528" i="1"/>
  <c r="G528" i="1"/>
  <c r="H528" i="1"/>
  <c r="H533" i="1" s="1"/>
  <c r="I528" i="1"/>
  <c r="I533" i="1" s="1"/>
  <c r="J528" i="1"/>
  <c r="B528" i="1"/>
  <c r="J114" i="1"/>
  <c r="J64" i="2" s="1"/>
  <c r="G114" i="1"/>
  <c r="G64" i="2" s="1"/>
  <c r="F114" i="1"/>
  <c r="F64" i="2" s="1"/>
  <c r="E114" i="1"/>
  <c r="E64" i="2" s="1"/>
  <c r="D114" i="1"/>
  <c r="D64" i="2" s="1"/>
  <c r="C114" i="1"/>
  <c r="C64" i="2" s="1"/>
  <c r="B114" i="1"/>
  <c r="B64" i="2" s="1"/>
  <c r="J109" i="1"/>
  <c r="I109" i="1"/>
  <c r="I114" i="1" s="1"/>
  <c r="I64" i="2" s="1"/>
  <c r="H109" i="1"/>
  <c r="G109" i="1"/>
  <c r="F109" i="1"/>
  <c r="E109" i="1"/>
  <c r="D109" i="1"/>
  <c r="C109" i="1"/>
  <c r="B109" i="1"/>
  <c r="C105" i="1"/>
  <c r="C106" i="1" s="1"/>
  <c r="C63" i="2" s="1"/>
  <c r="D105" i="1"/>
  <c r="D106" i="1" s="1"/>
  <c r="D63" i="2" s="1"/>
  <c r="E105" i="1"/>
  <c r="E106" i="1" s="1"/>
  <c r="E63" i="2" s="1"/>
  <c r="F105" i="1"/>
  <c r="F106" i="1" s="1"/>
  <c r="F63" i="2" s="1"/>
  <c r="G105" i="1"/>
  <c r="G106" i="1" s="1"/>
  <c r="G63" i="2" s="1"/>
  <c r="H105" i="1"/>
  <c r="H106" i="1" s="1"/>
  <c r="I105" i="1"/>
  <c r="I106" i="1" s="1"/>
  <c r="I63" i="2" s="1"/>
  <c r="J105" i="1"/>
  <c r="J106" i="1" s="1"/>
  <c r="J63" i="2" s="1"/>
  <c r="B106" i="1"/>
  <c r="B63" i="2" s="1"/>
  <c r="J101" i="1"/>
  <c r="I101" i="1"/>
  <c r="H101" i="1"/>
  <c r="G101" i="1"/>
  <c r="F101" i="1"/>
  <c r="E101" i="1"/>
  <c r="D101" i="1"/>
  <c r="C101" i="1"/>
  <c r="B101" i="1"/>
  <c r="C34" i="1"/>
  <c r="D34" i="1"/>
  <c r="E34" i="1"/>
  <c r="F34" i="1"/>
  <c r="G34" i="1"/>
  <c r="H34" i="1"/>
  <c r="I34" i="1"/>
  <c r="J34" i="1"/>
  <c r="B34" i="1"/>
  <c r="B19" i="1"/>
  <c r="B590" i="1" s="1"/>
  <c r="J533" i="1" l="1"/>
  <c r="F533" i="1"/>
  <c r="B533" i="1"/>
  <c r="G533" i="1"/>
  <c r="C533" i="1"/>
  <c r="C258" i="1"/>
  <c r="C259" i="1" s="1"/>
  <c r="C459" i="1" s="1"/>
  <c r="B205" i="17"/>
  <c r="B191" i="17"/>
  <c r="B183" i="17"/>
  <c r="B208" i="17"/>
  <c r="B212" i="17"/>
  <c r="B595" i="1"/>
  <c r="B168" i="2" s="1"/>
  <c r="B594" i="1"/>
  <c r="B167" i="2" s="1"/>
  <c r="I256" i="1"/>
  <c r="E251" i="1"/>
  <c r="D122" i="1"/>
  <c r="D71" i="2" s="1"/>
  <c r="D119" i="1"/>
  <c r="D68" i="2" s="1"/>
  <c r="C122" i="1"/>
  <c r="C71" i="2" s="1"/>
  <c r="C119" i="1"/>
  <c r="C68" i="2" s="1"/>
  <c r="G258" i="1"/>
  <c r="G259" i="1" s="1"/>
  <c r="G459" i="1" s="1"/>
  <c r="J258" i="1"/>
  <c r="J259" i="1" s="1"/>
  <c r="J459" i="1" s="1"/>
  <c r="J286" i="1"/>
  <c r="J287" i="1" s="1"/>
  <c r="J497" i="1" s="1"/>
  <c r="J499" i="1" s="1"/>
  <c r="J500" i="1" s="1"/>
  <c r="F256" i="1"/>
  <c r="C286" i="1"/>
  <c r="C287" i="1" s="1"/>
  <c r="C497" i="1" s="1"/>
  <c r="C499" i="1" s="1"/>
  <c r="C500" i="1" s="1"/>
  <c r="H286" i="1"/>
  <c r="H287" i="1" s="1"/>
  <c r="H497" i="1" s="1"/>
  <c r="H499" i="1" s="1"/>
  <c r="H500" i="1" s="1"/>
  <c r="E258" i="1"/>
  <c r="E259" i="1" s="1"/>
  <c r="E459" i="1" s="1"/>
  <c r="D286" i="1"/>
  <c r="D287" i="1" s="1"/>
  <c r="D497" i="1" s="1"/>
  <c r="D499" i="1" s="1"/>
  <c r="D500" i="1" s="1"/>
  <c r="G286" i="1"/>
  <c r="G287" i="1" s="1"/>
  <c r="G497" i="1" s="1"/>
  <c r="G499" i="1" s="1"/>
  <c r="G500" i="1" s="1"/>
  <c r="F286" i="1"/>
  <c r="F287" i="1" s="1"/>
  <c r="F497" i="1" s="1"/>
  <c r="F499" i="1" s="1"/>
  <c r="F500" i="1" s="1"/>
  <c r="B286" i="1"/>
  <c r="B287" i="1" s="1"/>
  <c r="B497" i="1" s="1"/>
  <c r="B499" i="1" s="1"/>
  <c r="B500" i="1" s="1"/>
  <c r="I286" i="1"/>
  <c r="I287" i="1" s="1"/>
  <c r="I497" i="1" s="1"/>
  <c r="I499" i="1" s="1"/>
  <c r="I500" i="1" s="1"/>
  <c r="E286" i="1"/>
  <c r="E287" i="1" s="1"/>
  <c r="E497" i="1" s="1"/>
  <c r="E499" i="1" s="1"/>
  <c r="E500" i="1" s="1"/>
  <c r="B119" i="1"/>
  <c r="B68" i="2" s="1"/>
  <c r="B122" i="1"/>
  <c r="B71" i="2" s="1"/>
  <c r="H119" i="1"/>
  <c r="H68" i="2" s="1"/>
  <c r="H122" i="1"/>
  <c r="H71" i="2" s="1"/>
  <c r="H120" i="1"/>
  <c r="H69" i="2" s="1"/>
  <c r="H121" i="1"/>
  <c r="H70" i="2" s="1"/>
  <c r="H123" i="1"/>
  <c r="H72" i="2" s="1"/>
  <c r="E119" i="1"/>
  <c r="E68" i="2" s="1"/>
  <c r="E122" i="1"/>
  <c r="E71" i="2" s="1"/>
  <c r="E120" i="1"/>
  <c r="E69" i="2" s="1"/>
  <c r="E123" i="1"/>
  <c r="E72" i="2" s="1"/>
  <c r="E121" i="1"/>
  <c r="E70" i="2" s="1"/>
  <c r="B342" i="1"/>
  <c r="B104" i="2" s="1"/>
  <c r="B120" i="1"/>
  <c r="B69" i="2" s="1"/>
  <c r="B123" i="1"/>
  <c r="B72" i="2" s="1"/>
  <c r="F119" i="1"/>
  <c r="F68" i="2" s="1"/>
  <c r="F122" i="1"/>
  <c r="F71" i="2" s="1"/>
  <c r="J119" i="1"/>
  <c r="J68" i="2" s="1"/>
  <c r="J122" i="1"/>
  <c r="J71" i="2" s="1"/>
  <c r="F120" i="1"/>
  <c r="F69" i="2" s="1"/>
  <c r="F123" i="1"/>
  <c r="F72" i="2" s="1"/>
  <c r="J120" i="1"/>
  <c r="J69" i="2" s="1"/>
  <c r="F121" i="1"/>
  <c r="F70" i="2" s="1"/>
  <c r="J121" i="1"/>
  <c r="J70" i="2" s="1"/>
  <c r="J123" i="1"/>
  <c r="J72" i="2" s="1"/>
  <c r="D120" i="1"/>
  <c r="D69" i="2" s="1"/>
  <c r="D123" i="1"/>
  <c r="D72" i="2" s="1"/>
  <c r="D121" i="1"/>
  <c r="D70" i="2" s="1"/>
  <c r="B121" i="1"/>
  <c r="B70" i="2" s="1"/>
  <c r="I119" i="1"/>
  <c r="I68" i="2" s="1"/>
  <c r="I122" i="1"/>
  <c r="I71" i="2" s="1"/>
  <c r="I120" i="1"/>
  <c r="I69" i="2" s="1"/>
  <c r="I121" i="1"/>
  <c r="I70" i="2" s="1"/>
  <c r="I123" i="1"/>
  <c r="I72" i="2" s="1"/>
  <c r="G119" i="1"/>
  <c r="G68" i="2" s="1"/>
  <c r="G122" i="1"/>
  <c r="G71" i="2" s="1"/>
  <c r="C120" i="1"/>
  <c r="C69" i="2" s="1"/>
  <c r="C123" i="1"/>
  <c r="C72" i="2" s="1"/>
  <c r="G120" i="1"/>
  <c r="G69" i="2" s="1"/>
  <c r="G123" i="1"/>
  <c r="G72" i="2" s="1"/>
  <c r="C121" i="1"/>
  <c r="C70" i="2" s="1"/>
  <c r="G121" i="1"/>
  <c r="G70" i="2" s="1"/>
  <c r="H63" i="2"/>
  <c r="H114" i="1"/>
  <c r="H64" i="2" s="1"/>
  <c r="B425" i="1"/>
  <c r="B427" i="1" s="1"/>
  <c r="B239" i="1"/>
  <c r="B465" i="1"/>
  <c r="B467" i="1" s="1"/>
  <c r="B260" i="1"/>
  <c r="B452" i="1"/>
  <c r="B454" i="1" s="1"/>
  <c r="B251" i="1"/>
  <c r="B438" i="1"/>
  <c r="B440" i="1" s="1"/>
  <c r="B245" i="1"/>
  <c r="H487" i="1"/>
  <c r="B155" i="1"/>
  <c r="B237" i="1" s="1"/>
  <c r="D59" i="2"/>
  <c r="D206" i="2" s="1"/>
  <c r="E59" i="2"/>
  <c r="E206" i="2" s="1"/>
  <c r="J59" i="2"/>
  <c r="J206" i="2" s="1"/>
  <c r="F59" i="2"/>
  <c r="F206" i="2" s="1"/>
  <c r="H59" i="2"/>
  <c r="H206" i="2" s="1"/>
  <c r="B59" i="2"/>
  <c r="B206" i="2" s="1"/>
  <c r="I59" i="2"/>
  <c r="I206" i="2" s="1"/>
  <c r="G59" i="2"/>
  <c r="G206" i="2" s="1"/>
  <c r="C59" i="2"/>
  <c r="C206" i="2" s="1"/>
  <c r="J16" i="2"/>
  <c r="B537" i="1"/>
  <c r="B16" i="2"/>
  <c r="G16" i="2"/>
  <c r="C539" i="1"/>
  <c r="C16" i="2"/>
  <c r="B221" i="1"/>
  <c r="B258" i="1" s="1"/>
  <c r="B259" i="1" s="1"/>
  <c r="B459" i="1" s="1"/>
  <c r="B14" i="2"/>
  <c r="H16" i="2"/>
  <c r="D537" i="1"/>
  <c r="D16" i="2"/>
  <c r="C45" i="1"/>
  <c r="C46" i="1" s="1"/>
  <c r="F16" i="2"/>
  <c r="I16" i="2"/>
  <c r="E16" i="2"/>
  <c r="I482" i="1"/>
  <c r="E482" i="1"/>
  <c r="B11" i="2"/>
  <c r="E17" i="1"/>
  <c r="B24" i="1"/>
  <c r="B567" i="1" s="1"/>
  <c r="B576" i="1" s="1"/>
  <c r="B162" i="2" s="1"/>
  <c r="B21" i="1"/>
  <c r="J487" i="1"/>
  <c r="G487" i="1"/>
  <c r="B22" i="1"/>
  <c r="B565" i="1" s="1"/>
  <c r="B574" i="1" s="1"/>
  <c r="B160" i="2" s="1"/>
  <c r="F17" i="1"/>
  <c r="H17" i="1"/>
  <c r="B23" i="1"/>
  <c r="I392" i="1"/>
  <c r="I393" i="1" s="1"/>
  <c r="I107" i="2" s="1"/>
  <c r="E392" i="1"/>
  <c r="E393" i="1" s="1"/>
  <c r="E107" i="2" s="1"/>
  <c r="C487" i="1"/>
  <c r="H376" i="1"/>
  <c r="H377" i="1" s="1"/>
  <c r="H106" i="2" s="1"/>
  <c r="D376" i="1"/>
  <c r="D377" i="1" s="1"/>
  <c r="D106" i="2" s="1"/>
  <c r="I410" i="1"/>
  <c r="I111" i="2" s="1"/>
  <c r="B200" i="1"/>
  <c r="B249" i="1" s="1"/>
  <c r="G17" i="1"/>
  <c r="B176" i="1"/>
  <c r="B243" i="1" s="1"/>
  <c r="G482" i="1"/>
  <c r="F487" i="1"/>
  <c r="C482" i="1"/>
  <c r="J482" i="1"/>
  <c r="F482" i="1"/>
  <c r="D487" i="1"/>
  <c r="E410" i="1"/>
  <c r="E111" i="2" s="1"/>
  <c r="J410" i="1"/>
  <c r="J111" i="2" s="1"/>
  <c r="F410" i="1"/>
  <c r="F111" i="2" s="1"/>
  <c r="B376" i="1"/>
  <c r="B377" i="1" s="1"/>
  <c r="B106" i="2" s="1"/>
  <c r="C376" i="1"/>
  <c r="C377" i="1" s="1"/>
  <c r="C106" i="2" s="1"/>
  <c r="D410" i="1"/>
  <c r="D111" i="2" s="1"/>
  <c r="I376" i="1"/>
  <c r="I377" i="1" s="1"/>
  <c r="I106" i="2" s="1"/>
  <c r="E376" i="1"/>
  <c r="E377" i="1" s="1"/>
  <c r="E106" i="2" s="1"/>
  <c r="I465" i="1"/>
  <c r="I467" i="1" s="1"/>
  <c r="I487" i="1" s="1"/>
  <c r="G410" i="1"/>
  <c r="G111" i="2" s="1"/>
  <c r="C410" i="1"/>
  <c r="C111" i="2" s="1"/>
  <c r="H410" i="1"/>
  <c r="H111" i="2" s="1"/>
  <c r="D239" i="1"/>
  <c r="D425" i="1"/>
  <c r="D427" i="1" s="1"/>
  <c r="D482" i="1" s="1"/>
  <c r="E452" i="1"/>
  <c r="E454" i="1" s="1"/>
  <c r="E487" i="1" s="1"/>
  <c r="H239" i="1"/>
  <c r="H425" i="1"/>
  <c r="H427" i="1" s="1"/>
  <c r="H482" i="1" s="1"/>
  <c r="G376" i="1"/>
  <c r="G377" i="1" s="1"/>
  <c r="G106" i="2" s="1"/>
  <c r="B410" i="1"/>
  <c r="B111" i="2" s="1"/>
  <c r="J392" i="1"/>
  <c r="J393" i="1" s="1"/>
  <c r="J107" i="2" s="1"/>
  <c r="F392" i="1"/>
  <c r="F393" i="1" s="1"/>
  <c r="F107" i="2" s="1"/>
  <c r="H392" i="1"/>
  <c r="H393" i="1" s="1"/>
  <c r="H107" i="2" s="1"/>
  <c r="D392" i="1"/>
  <c r="D393" i="1" s="1"/>
  <c r="D107" i="2" s="1"/>
  <c r="B392" i="1"/>
  <c r="B393" i="1" s="1"/>
  <c r="B107" i="2" s="1"/>
  <c r="G392" i="1"/>
  <c r="G393" i="1" s="1"/>
  <c r="G107" i="2" s="1"/>
  <c r="C392" i="1"/>
  <c r="C393" i="1" s="1"/>
  <c r="C107" i="2" s="1"/>
  <c r="J376" i="1"/>
  <c r="J377" i="1" s="1"/>
  <c r="J106" i="2" s="1"/>
  <c r="F376" i="1"/>
  <c r="F377" i="1" s="1"/>
  <c r="F106" i="2" s="1"/>
  <c r="G300" i="1"/>
  <c r="D244" i="1"/>
  <c r="D432" i="1" s="1"/>
  <c r="H244" i="1"/>
  <c r="H432" i="1" s="1"/>
  <c r="J251" i="1"/>
  <c r="J260" i="1"/>
  <c r="H238" i="1"/>
  <c r="D238" i="1"/>
  <c r="F251" i="1"/>
  <c r="J238" i="1"/>
  <c r="C330" i="1"/>
  <c r="C102" i="2" s="1"/>
  <c r="F238" i="1"/>
  <c r="B330" i="1"/>
  <c r="B102" i="2" s="1"/>
  <c r="J330" i="1"/>
  <c r="J102" i="2" s="1"/>
  <c r="B300" i="1"/>
  <c r="C300" i="1"/>
  <c r="F330" i="1"/>
  <c r="F102" i="2" s="1"/>
  <c r="I238" i="1"/>
  <c r="E238" i="1"/>
  <c r="I330" i="1"/>
  <c r="I102" i="2" s="1"/>
  <c r="E330" i="1"/>
  <c r="E102" i="2" s="1"/>
  <c r="G330" i="1"/>
  <c r="G102" i="2" s="1"/>
  <c r="H330" i="1"/>
  <c r="H102" i="2" s="1"/>
  <c r="D330" i="1"/>
  <c r="D102" i="2" s="1"/>
  <c r="J239" i="1"/>
  <c r="H251" i="1"/>
  <c r="D251" i="1"/>
  <c r="I259" i="1"/>
  <c r="I459" i="1" s="1"/>
  <c r="I300" i="1"/>
  <c r="E300" i="1"/>
  <c r="I251" i="1"/>
  <c r="H260" i="1"/>
  <c r="F245" i="1"/>
  <c r="J245" i="1"/>
  <c r="H300" i="1"/>
  <c r="D300" i="1"/>
  <c r="I239" i="1"/>
  <c r="G251" i="1"/>
  <c r="F239" i="1"/>
  <c r="F244" i="1"/>
  <c r="J244" i="1"/>
  <c r="J432" i="1" s="1"/>
  <c r="C244" i="1"/>
  <c r="C432" i="1" s="1"/>
  <c r="G244" i="1"/>
  <c r="G432" i="1" s="1"/>
  <c r="B304" i="1"/>
  <c r="E244" i="1"/>
  <c r="E432" i="1" s="1"/>
  <c r="C251" i="1"/>
  <c r="D260" i="1"/>
  <c r="G260" i="1"/>
  <c r="F260" i="1"/>
  <c r="D245" i="1"/>
  <c r="H245" i="1"/>
  <c r="I244" i="1"/>
  <c r="I432" i="1" s="1"/>
  <c r="G238" i="1"/>
  <c r="C238" i="1"/>
  <c r="E260" i="1"/>
  <c r="E245" i="1"/>
  <c r="I245" i="1"/>
  <c r="C260" i="1"/>
  <c r="C245" i="1"/>
  <c r="G245" i="1"/>
  <c r="G239" i="1"/>
  <c r="C239" i="1"/>
  <c r="H259" i="1"/>
  <c r="H459" i="1" s="1"/>
  <c r="D259" i="1"/>
  <c r="D459" i="1" s="1"/>
  <c r="E239" i="1"/>
  <c r="F259" i="1"/>
  <c r="F459" i="1" s="1"/>
  <c r="C534" i="1"/>
  <c r="G534" i="1"/>
  <c r="D539" i="1"/>
  <c r="H45" i="1"/>
  <c r="H46" i="1" s="1"/>
  <c r="G45" i="1"/>
  <c r="G46" i="1" s="1"/>
  <c r="C537" i="1"/>
  <c r="C542" i="1" s="1"/>
  <c r="H537" i="1"/>
  <c r="H539" i="1"/>
  <c r="G537" i="1"/>
  <c r="G542" i="1" s="1"/>
  <c r="G539" i="1"/>
  <c r="D45" i="1"/>
  <c r="D46" i="1" s="1"/>
  <c r="J534" i="1"/>
  <c r="I534" i="1"/>
  <c r="E534" i="1"/>
  <c r="J537" i="1"/>
  <c r="F537" i="1"/>
  <c r="F542" i="1" s="1"/>
  <c r="J539" i="1"/>
  <c r="F539" i="1"/>
  <c r="E45" i="1"/>
  <c r="E46" i="1" s="1"/>
  <c r="I45" i="1"/>
  <c r="I46" i="1" s="1"/>
  <c r="F534" i="1"/>
  <c r="I537" i="1"/>
  <c r="E537" i="1"/>
  <c r="I539" i="1"/>
  <c r="E539" i="1"/>
  <c r="F45" i="1"/>
  <c r="F46" i="1" s="1"/>
  <c r="J45" i="1"/>
  <c r="J46" i="1" s="1"/>
  <c r="H534" i="1"/>
  <c r="D534" i="1"/>
  <c r="B534" i="1"/>
  <c r="E542" i="1" l="1"/>
  <c r="H542" i="1"/>
  <c r="D542" i="1"/>
  <c r="D543" i="1" s="1"/>
  <c r="B539" i="1"/>
  <c r="J542" i="1"/>
  <c r="I542" i="1"/>
  <c r="I543" i="1" s="1"/>
  <c r="B27" i="1"/>
  <c r="J95" i="2"/>
  <c r="J512" i="1" s="1"/>
  <c r="I95" i="2"/>
  <c r="I512" i="1" s="1"/>
  <c r="E95" i="2"/>
  <c r="E512" i="1" s="1"/>
  <c r="D95" i="2"/>
  <c r="D512" i="1" s="1"/>
  <c r="B95" i="2"/>
  <c r="B512" i="1" s="1"/>
  <c r="G95" i="2"/>
  <c r="G512" i="1" s="1"/>
  <c r="C95" i="2"/>
  <c r="C512" i="1" s="1"/>
  <c r="F95" i="2"/>
  <c r="F512" i="1" s="1"/>
  <c r="H95" i="2"/>
  <c r="H512" i="1" s="1"/>
  <c r="B192" i="17"/>
  <c r="B193" i="17"/>
  <c r="B209" i="17"/>
  <c r="B213" i="17"/>
  <c r="B217" i="17"/>
  <c r="F288" i="1"/>
  <c r="F98" i="2" s="1"/>
  <c r="F131" i="2" s="1"/>
  <c r="E288" i="1"/>
  <c r="E98" i="2" s="1"/>
  <c r="E131" i="2" s="1"/>
  <c r="B288" i="1"/>
  <c r="B98" i="2" s="1"/>
  <c r="B131" i="2" s="1"/>
  <c r="D288" i="1"/>
  <c r="D98" i="2" s="1"/>
  <c r="D131" i="2" s="1"/>
  <c r="C288" i="1"/>
  <c r="C98" i="2" s="1"/>
  <c r="C131" i="2" s="1"/>
  <c r="G288" i="1"/>
  <c r="G98" i="2" s="1"/>
  <c r="G131" i="2" s="1"/>
  <c r="J288" i="1"/>
  <c r="J98" i="2" s="1"/>
  <c r="J131" i="2" s="1"/>
  <c r="H288" i="1"/>
  <c r="H98" i="2" s="1"/>
  <c r="H131" i="2" s="1"/>
  <c r="I288" i="1"/>
  <c r="I98" i="2" s="1"/>
  <c r="I131" i="2" s="1"/>
  <c r="B482" i="1"/>
  <c r="B487" i="1"/>
  <c r="C273" i="1"/>
  <c r="E273" i="1"/>
  <c r="G273" i="1"/>
  <c r="I273" i="1"/>
  <c r="F273" i="1"/>
  <c r="D273" i="1"/>
  <c r="H273" i="1"/>
  <c r="J273" i="1"/>
  <c r="B273" i="1"/>
  <c r="I263" i="1"/>
  <c r="J263" i="1"/>
  <c r="H263" i="1"/>
  <c r="D419" i="1"/>
  <c r="D422" i="1" s="1"/>
  <c r="D424" i="1" s="1"/>
  <c r="I419" i="1"/>
  <c r="I421" i="1" s="1"/>
  <c r="F419" i="1"/>
  <c r="F422" i="1" s="1"/>
  <c r="F424" i="1" s="1"/>
  <c r="J419" i="1"/>
  <c r="J421" i="1" s="1"/>
  <c r="F263" i="1"/>
  <c r="C419" i="1"/>
  <c r="C422" i="1" s="1"/>
  <c r="C424" i="1" s="1"/>
  <c r="G419" i="1"/>
  <c r="G422" i="1" s="1"/>
  <c r="G424" i="1" s="1"/>
  <c r="E419" i="1"/>
  <c r="E422" i="1" s="1"/>
  <c r="E424" i="1" s="1"/>
  <c r="H419" i="1"/>
  <c r="H421" i="1" s="1"/>
  <c r="E263" i="1"/>
  <c r="G263" i="1"/>
  <c r="D263" i="1"/>
  <c r="C263" i="1"/>
  <c r="B308" i="1"/>
  <c r="B99" i="2" s="1"/>
  <c r="J505" i="1"/>
  <c r="H88" i="2"/>
  <c r="J88" i="2"/>
  <c r="D88" i="2"/>
  <c r="H505" i="1"/>
  <c r="G88" i="2"/>
  <c r="E88" i="2"/>
  <c r="C88" i="2"/>
  <c r="B88" i="2"/>
  <c r="F88" i="2"/>
  <c r="I88" i="2"/>
  <c r="B247" i="1"/>
  <c r="I505" i="1"/>
  <c r="B235" i="1"/>
  <c r="B256" i="1"/>
  <c r="E505" i="1"/>
  <c r="B364" i="1"/>
  <c r="B566" i="1"/>
  <c r="B575" i="1" s="1"/>
  <c r="B161" i="2" s="1"/>
  <c r="B362" i="1"/>
  <c r="B564" i="1"/>
  <c r="C505" i="1"/>
  <c r="G505" i="1"/>
  <c r="F505" i="1"/>
  <c r="D505" i="1"/>
  <c r="B241" i="1"/>
  <c r="F461" i="1"/>
  <c r="F462" i="1"/>
  <c r="F464" i="1" s="1"/>
  <c r="D461" i="1"/>
  <c r="D462" i="1"/>
  <c r="D464" i="1" s="1"/>
  <c r="C435" i="1"/>
  <c r="C437" i="1" s="1"/>
  <c r="C434" i="1"/>
  <c r="J461" i="1"/>
  <c r="J462" i="1"/>
  <c r="J464" i="1" s="1"/>
  <c r="I461" i="1"/>
  <c r="I462" i="1"/>
  <c r="I464" i="1" s="1"/>
  <c r="D434" i="1"/>
  <c r="D435" i="1"/>
  <c r="D437" i="1" s="1"/>
  <c r="H462" i="1"/>
  <c r="H464" i="1" s="1"/>
  <c r="H461" i="1"/>
  <c r="G462" i="1"/>
  <c r="G464" i="1" s="1"/>
  <c r="G461" i="1"/>
  <c r="I434" i="1"/>
  <c r="I435" i="1"/>
  <c r="I437" i="1" s="1"/>
  <c r="E434" i="1"/>
  <c r="E435" i="1"/>
  <c r="E437" i="1" s="1"/>
  <c r="E461" i="1"/>
  <c r="E462" i="1"/>
  <c r="E464" i="1" s="1"/>
  <c r="C462" i="1"/>
  <c r="C464" i="1" s="1"/>
  <c r="C461" i="1"/>
  <c r="J434" i="1"/>
  <c r="J435" i="1"/>
  <c r="J437" i="1" s="1"/>
  <c r="B461" i="1"/>
  <c r="B462" i="1"/>
  <c r="B464" i="1" s="1"/>
  <c r="G435" i="1"/>
  <c r="G437" i="1" s="1"/>
  <c r="G434" i="1"/>
  <c r="F432" i="1"/>
  <c r="H435" i="1"/>
  <c r="H437" i="1" s="1"/>
  <c r="H434" i="1"/>
  <c r="B250" i="1"/>
  <c r="B446" i="1" s="1"/>
  <c r="H543" i="1"/>
  <c r="B244" i="1"/>
  <c r="B238" i="1"/>
  <c r="G543" i="1"/>
  <c r="C543" i="1"/>
  <c r="B45" i="1"/>
  <c r="B46" i="1" s="1"/>
  <c r="J543" i="1"/>
  <c r="F543" i="1"/>
  <c r="E543" i="1"/>
  <c r="B367" i="1" l="1"/>
  <c r="B368" i="1" s="1"/>
  <c r="B542" i="1"/>
  <c r="B543" i="1" s="1"/>
  <c r="B419" i="1"/>
  <c r="B422" i="1" s="1"/>
  <c r="B424" i="1" s="1"/>
  <c r="B94" i="2"/>
  <c r="B511" i="1" s="1"/>
  <c r="B93" i="2"/>
  <c r="B152" i="2"/>
  <c r="B207" i="2"/>
  <c r="F152" i="2"/>
  <c r="F207" i="2"/>
  <c r="G207" i="2"/>
  <c r="G152" i="2"/>
  <c r="H207" i="2"/>
  <c r="H152" i="2"/>
  <c r="I152" i="2"/>
  <c r="I207" i="2"/>
  <c r="E152" i="2"/>
  <c r="E207" i="2"/>
  <c r="J152" i="2"/>
  <c r="J207" i="2"/>
  <c r="C207" i="2"/>
  <c r="C152" i="2"/>
  <c r="D207" i="2"/>
  <c r="D152" i="2"/>
  <c r="B505" i="1"/>
  <c r="E421" i="1"/>
  <c r="E481" i="1" s="1"/>
  <c r="F421" i="1"/>
  <c r="G421" i="1"/>
  <c r="G481" i="1" s="1"/>
  <c r="D421" i="1"/>
  <c r="D481" i="1" s="1"/>
  <c r="J422" i="1"/>
  <c r="J424" i="1" s="1"/>
  <c r="J483" i="1" s="1"/>
  <c r="C421" i="1"/>
  <c r="C481" i="1" s="1"/>
  <c r="H422" i="1"/>
  <c r="H424" i="1" s="1"/>
  <c r="H483" i="1" s="1"/>
  <c r="I422" i="1"/>
  <c r="I424" i="1" s="1"/>
  <c r="I483" i="1" s="1"/>
  <c r="B264" i="1"/>
  <c r="B432" i="1"/>
  <c r="B435" i="1" s="1"/>
  <c r="B437" i="1" s="1"/>
  <c r="B272" i="1"/>
  <c r="B266" i="1"/>
  <c r="B271" i="1"/>
  <c r="B263" i="1"/>
  <c r="B573" i="1"/>
  <c r="B159" i="2" s="1"/>
  <c r="B185" i="2" s="1"/>
  <c r="B200" i="2" s="1"/>
  <c r="B570" i="1"/>
  <c r="C483" i="1"/>
  <c r="J481" i="1"/>
  <c r="D483" i="1"/>
  <c r="E483" i="1"/>
  <c r="H481" i="1"/>
  <c r="I481" i="1"/>
  <c r="G483" i="1"/>
  <c r="C475" i="1"/>
  <c r="D475" i="1"/>
  <c r="E475" i="1"/>
  <c r="B448" i="1"/>
  <c r="B486" i="1" s="1"/>
  <c r="B449" i="1"/>
  <c r="B451" i="1" s="1"/>
  <c r="F434" i="1"/>
  <c r="F435" i="1"/>
  <c r="F437" i="1" s="1"/>
  <c r="F483" i="1" s="1"/>
  <c r="G475" i="1"/>
  <c r="B105" i="2" l="1"/>
  <c r="B421" i="1"/>
  <c r="B202" i="2"/>
  <c r="B201" i="2"/>
  <c r="J475" i="1"/>
  <c r="H475" i="1"/>
  <c r="B434" i="1"/>
  <c r="B265" i="1"/>
  <c r="I475" i="1"/>
  <c r="B274" i="1"/>
  <c r="B275" i="1" s="1"/>
  <c r="B510" i="1"/>
  <c r="F475" i="1"/>
  <c r="B579" i="1"/>
  <c r="J484" i="1"/>
  <c r="D484" i="1"/>
  <c r="F481" i="1"/>
  <c r="I484" i="1"/>
  <c r="E484" i="1"/>
  <c r="G484" i="1"/>
  <c r="H484" i="1"/>
  <c r="C484" i="1"/>
  <c r="B483" i="1"/>
  <c r="B476" i="1"/>
  <c r="B488" i="1"/>
  <c r="B475" i="1"/>
  <c r="B478" i="1" l="1"/>
  <c r="B96" i="2"/>
  <c r="B97" i="2" s="1"/>
  <c r="B130" i="2" s="1"/>
  <c r="B132" i="2" s="1"/>
  <c r="B481" i="1"/>
  <c r="B504" i="1" s="1"/>
  <c r="B307" i="1"/>
  <c r="F484" i="1"/>
  <c r="B489" i="1"/>
  <c r="B506" i="1"/>
  <c r="B477" i="1"/>
  <c r="B267" i="1"/>
  <c r="B479" i="1" l="1"/>
  <c r="B513" i="1"/>
  <c r="B484" i="1"/>
  <c r="B514" i="1"/>
  <c r="B507" i="1"/>
  <c r="B508" i="1" s="1"/>
  <c r="B125" i="2" l="1"/>
  <c r="B413" i="1" s="1"/>
  <c r="B414" i="1" s="1"/>
  <c r="B134" i="2"/>
  <c r="B139" i="2" l="1"/>
  <c r="B136" i="2"/>
  <c r="B112" i="2"/>
  <c r="B148" i="2" l="1"/>
  <c r="B208" i="2" s="1"/>
  <c r="B140" i="2"/>
  <c r="B124" i="2"/>
  <c r="B192" i="2" s="1"/>
  <c r="B149" i="2"/>
  <c r="B151" i="2" l="1"/>
  <c r="B154" i="2" s="1"/>
  <c r="B144" i="2"/>
  <c r="B194" i="2"/>
  <c r="B193" i="2"/>
  <c r="B143" i="2"/>
  <c r="B126" i="2"/>
  <c r="C7" i="2"/>
  <c r="C32" i="1"/>
  <c r="C342" i="1" s="1"/>
  <c r="C355" i="1" s="1"/>
  <c r="C104" i="2" s="1"/>
  <c r="J7" i="2"/>
  <c r="J32" i="1"/>
  <c r="J342" i="1" s="1"/>
  <c r="J355" i="1" s="1"/>
  <c r="J104" i="2" s="1"/>
  <c r="D7" i="2"/>
  <c r="I7" i="2"/>
  <c r="I32" i="1"/>
  <c r="G32" i="1"/>
  <c r="G7" i="2"/>
  <c r="E32" i="1"/>
  <c r="E342" i="1" s="1"/>
  <c r="E355" i="1" s="1"/>
  <c r="E104" i="2" s="1"/>
  <c r="E7" i="2"/>
  <c r="F7" i="2"/>
  <c r="H32" i="1"/>
  <c r="H342" i="1" s="1"/>
  <c r="H355" i="1" s="1"/>
  <c r="H104" i="2" s="1"/>
  <c r="H7" i="2"/>
  <c r="G6" i="2"/>
  <c r="G360" i="1"/>
  <c r="F32" i="1"/>
  <c r="F342" i="1" s="1"/>
  <c r="F355" i="1" s="1"/>
  <c r="F104" i="2" s="1"/>
  <c r="D32" i="1"/>
  <c r="D342" i="1" s="1"/>
  <c r="D355" i="1" s="1"/>
  <c r="D104" i="2" s="1"/>
  <c r="J6" i="2"/>
  <c r="H6" i="2"/>
  <c r="J360" i="1"/>
  <c r="C360" i="1"/>
  <c r="G19" i="1"/>
  <c r="H360" i="1"/>
  <c r="D360" i="1"/>
  <c r="C19" i="1"/>
  <c r="E360" i="1"/>
  <c r="I360" i="1"/>
  <c r="C6" i="2"/>
  <c r="C247" i="1"/>
  <c r="C93" i="2" s="1"/>
  <c r="F360" i="1"/>
  <c r="I19" i="1"/>
  <c r="I11" i="2" s="1"/>
  <c r="G249" i="1"/>
  <c r="G250" i="1" s="1"/>
  <c r="E19" i="1"/>
  <c r="F249" i="1"/>
  <c r="F250" i="1" s="1"/>
  <c r="F6" i="2"/>
  <c r="F19" i="1"/>
  <c r="J19" i="1"/>
  <c r="J22" i="1" s="1"/>
  <c r="J565" i="1" s="1"/>
  <c r="J574" i="1" s="1"/>
  <c r="J160" i="2" s="1"/>
  <c r="H19" i="1"/>
  <c r="H23" i="1" s="1"/>
  <c r="E249" i="1"/>
  <c r="E250" i="1" s="1"/>
  <c r="D19" i="1"/>
  <c r="D247" i="1"/>
  <c r="D93" i="2" s="1"/>
  <c r="D249" i="1"/>
  <c r="D250" i="1" s="1"/>
  <c r="B209" i="2" l="1"/>
  <c r="B217" i="2" s="1"/>
  <c r="D272" i="1"/>
  <c r="D94" i="2"/>
  <c r="D511" i="1" s="1"/>
  <c r="F272" i="1"/>
  <c r="F94" i="2"/>
  <c r="F511" i="1" s="1"/>
  <c r="G272" i="1"/>
  <c r="G94" i="2"/>
  <c r="G511" i="1" s="1"/>
  <c r="E272" i="1"/>
  <c r="E94" i="2"/>
  <c r="E511" i="1" s="1"/>
  <c r="B196" i="2"/>
  <c r="B210" i="2"/>
  <c r="B188" i="2"/>
  <c r="I591" i="1"/>
  <c r="I593" i="1" s="1"/>
  <c r="I342" i="1"/>
  <c r="I355" i="1" s="1"/>
  <c r="I104" i="2" s="1"/>
  <c r="G14" i="2"/>
  <c r="G342" i="1"/>
  <c r="G355" i="1" s="1"/>
  <c r="G104" i="2" s="1"/>
  <c r="J591" i="1"/>
  <c r="J593" i="1" s="1"/>
  <c r="D14" i="2"/>
  <c r="D591" i="1"/>
  <c r="D593" i="1" s="1"/>
  <c r="C591" i="1"/>
  <c r="C593" i="1" s="1"/>
  <c r="J590" i="1"/>
  <c r="J304" i="1"/>
  <c r="J308" i="1" s="1"/>
  <c r="J99" i="2" s="1"/>
  <c r="E590" i="1"/>
  <c r="F14" i="2"/>
  <c r="F591" i="1"/>
  <c r="F593" i="1" s="1"/>
  <c r="H591" i="1"/>
  <c r="H593" i="1" s="1"/>
  <c r="E14" i="2"/>
  <c r="E591" i="1"/>
  <c r="E593" i="1" s="1"/>
  <c r="G591" i="1"/>
  <c r="G593" i="1" s="1"/>
  <c r="H14" i="2"/>
  <c r="C510" i="1"/>
  <c r="C271" i="1"/>
  <c r="D510" i="1"/>
  <c r="D264" i="1"/>
  <c r="D265" i="1" s="1"/>
  <c r="D96" i="2" s="1"/>
  <c r="D271" i="1"/>
  <c r="D266" i="1"/>
  <c r="G247" i="1"/>
  <c r="G93" i="2" s="1"/>
  <c r="E24" i="1"/>
  <c r="E567" i="1" s="1"/>
  <c r="E576" i="1" s="1"/>
  <c r="E162" i="2" s="1"/>
  <c r="I22" i="1"/>
  <c r="I565" i="1" s="1"/>
  <c r="I574" i="1" s="1"/>
  <c r="I160" i="2" s="1"/>
  <c r="I24" i="1"/>
  <c r="I567" i="1" s="1"/>
  <c r="I576" i="1" s="1"/>
  <c r="I162" i="2" s="1"/>
  <c r="I590" i="1"/>
  <c r="F21" i="1"/>
  <c r="E23" i="1"/>
  <c r="E21" i="1"/>
  <c r="I21" i="1"/>
  <c r="D304" i="1"/>
  <c r="D308" i="1" s="1"/>
  <c r="D99" i="2" s="1"/>
  <c r="F247" i="1"/>
  <c r="F93" i="2" s="1"/>
  <c r="J21" i="1"/>
  <c r="D22" i="1"/>
  <c r="D565" i="1" s="1"/>
  <c r="D574" i="1" s="1"/>
  <c r="D160" i="2" s="1"/>
  <c r="I23" i="1"/>
  <c r="E22" i="1"/>
  <c r="E565" i="1" s="1"/>
  <c r="E574" i="1" s="1"/>
  <c r="E160" i="2" s="1"/>
  <c r="H21" i="1"/>
  <c r="I304" i="1"/>
  <c r="I308" i="1" s="1"/>
  <c r="I99" i="2" s="1"/>
  <c r="C14" i="2"/>
  <c r="G446" i="1"/>
  <c r="H247" i="1"/>
  <c r="H93" i="2" s="1"/>
  <c r="H249" i="1"/>
  <c r="H250" i="1" s="1"/>
  <c r="E446" i="1"/>
  <c r="C249" i="1"/>
  <c r="C250" i="1" s="1"/>
  <c r="D446" i="1"/>
  <c r="I247" i="1"/>
  <c r="I93" i="2" s="1"/>
  <c r="I249" i="1"/>
  <c r="I250" i="1" s="1"/>
  <c r="J247" i="1"/>
  <c r="J93" i="2" s="1"/>
  <c r="J249" i="1"/>
  <c r="J250" i="1" s="1"/>
  <c r="F446" i="1"/>
  <c r="C23" i="1"/>
  <c r="C304" i="1"/>
  <c r="C308" i="1" s="1"/>
  <c r="C99" i="2" s="1"/>
  <c r="G11" i="2"/>
  <c r="G24" i="1"/>
  <c r="G567" i="1" s="1"/>
  <c r="G576" i="1" s="1"/>
  <c r="G162" i="2" s="1"/>
  <c r="F11" i="2"/>
  <c r="I14" i="2"/>
  <c r="I6" i="2"/>
  <c r="D11" i="2"/>
  <c r="D21" i="1"/>
  <c r="D590" i="1"/>
  <c r="D24" i="1"/>
  <c r="D567" i="1" s="1"/>
  <c r="D576" i="1" s="1"/>
  <c r="D162" i="2" s="1"/>
  <c r="H304" i="1"/>
  <c r="H308" i="1" s="1"/>
  <c r="H99" i="2" s="1"/>
  <c r="J11" i="2"/>
  <c r="J23" i="1"/>
  <c r="E6" i="2"/>
  <c r="G23" i="1"/>
  <c r="G590" i="1"/>
  <c r="C21" i="1"/>
  <c r="E247" i="1"/>
  <c r="E93" i="2" s="1"/>
  <c r="G21" i="1"/>
  <c r="C590" i="1"/>
  <c r="C11" i="2"/>
  <c r="F23" i="1"/>
  <c r="C22" i="1"/>
  <c r="C565" i="1" s="1"/>
  <c r="C574" i="1" s="1"/>
  <c r="C160" i="2" s="1"/>
  <c r="H590" i="1"/>
  <c r="G304" i="1"/>
  <c r="G308" i="1" s="1"/>
  <c r="G99" i="2" s="1"/>
  <c r="H24" i="1"/>
  <c r="H567" i="1" s="1"/>
  <c r="H576" i="1" s="1"/>
  <c r="H162" i="2" s="1"/>
  <c r="F590" i="1"/>
  <c r="H566" i="1"/>
  <c r="H575" i="1" s="1"/>
  <c r="H161" i="2" s="1"/>
  <c r="G22" i="1"/>
  <c r="G565" i="1" s="1"/>
  <c r="G574" i="1" s="1"/>
  <c r="G160" i="2" s="1"/>
  <c r="H11" i="2"/>
  <c r="D6" i="2"/>
  <c r="H22" i="1"/>
  <c r="H565" i="1" s="1"/>
  <c r="H574" i="1" s="1"/>
  <c r="H160" i="2" s="1"/>
  <c r="J24" i="1"/>
  <c r="J567" i="1" s="1"/>
  <c r="J576" i="1" s="1"/>
  <c r="J162" i="2" s="1"/>
  <c r="F304" i="1"/>
  <c r="F308" i="1" s="1"/>
  <c r="F99" i="2" s="1"/>
  <c r="F24" i="1"/>
  <c r="F567" i="1" s="1"/>
  <c r="F576" i="1" s="1"/>
  <c r="F162" i="2" s="1"/>
  <c r="F22" i="1"/>
  <c r="F565" i="1" s="1"/>
  <c r="F574" i="1" s="1"/>
  <c r="F160" i="2" s="1"/>
  <c r="C24" i="1"/>
  <c r="C567" i="1" s="1"/>
  <c r="C576" i="1" s="1"/>
  <c r="C162" i="2" s="1"/>
  <c r="D23" i="1"/>
  <c r="J14" i="2"/>
  <c r="E304" i="1"/>
  <c r="E308" i="1" s="1"/>
  <c r="E99" i="2" s="1"/>
  <c r="E11" i="2"/>
  <c r="D27" i="1" l="1"/>
  <c r="F564" i="1"/>
  <c r="F573" i="1" s="1"/>
  <c r="F159" i="2" s="1"/>
  <c r="F27" i="1"/>
  <c r="C27" i="1"/>
  <c r="G27" i="1"/>
  <c r="I27" i="1"/>
  <c r="H564" i="1"/>
  <c r="H573" i="1" s="1"/>
  <c r="H159" i="2" s="1"/>
  <c r="H27" i="1"/>
  <c r="J362" i="1"/>
  <c r="J27" i="1"/>
  <c r="E27" i="1"/>
  <c r="B221" i="2"/>
  <c r="B213" i="2"/>
  <c r="D97" i="2"/>
  <c r="D130" i="2" s="1"/>
  <c r="D132" i="2" s="1"/>
  <c r="D274" i="1"/>
  <c r="D275" i="1" s="1"/>
  <c r="C272" i="1"/>
  <c r="C94" i="2"/>
  <c r="I272" i="1"/>
  <c r="I94" i="2"/>
  <c r="I511" i="1" s="1"/>
  <c r="H272" i="1"/>
  <c r="H94" i="2"/>
  <c r="H511" i="1" s="1"/>
  <c r="J272" i="1"/>
  <c r="J94" i="2"/>
  <c r="B222" i="2"/>
  <c r="B214" i="2"/>
  <c r="B218" i="2"/>
  <c r="B197" i="2"/>
  <c r="B198" i="2"/>
  <c r="D594" i="1"/>
  <c r="D167" i="2" s="1"/>
  <c r="D595" i="1"/>
  <c r="D168" i="2" s="1"/>
  <c r="E594" i="1"/>
  <c r="E167" i="2" s="1"/>
  <c r="E595" i="1"/>
  <c r="E168" i="2" s="1"/>
  <c r="F594" i="1"/>
  <c r="F167" i="2" s="1"/>
  <c r="F595" i="1"/>
  <c r="F168" i="2" s="1"/>
  <c r="H595" i="1"/>
  <c r="H168" i="2" s="1"/>
  <c r="H594" i="1"/>
  <c r="H167" i="2" s="1"/>
  <c r="C594" i="1"/>
  <c r="C167" i="2" s="1"/>
  <c r="C595" i="1"/>
  <c r="C168" i="2" s="1"/>
  <c r="G594" i="1"/>
  <c r="G167" i="2" s="1"/>
  <c r="G595" i="1"/>
  <c r="G168" i="2" s="1"/>
  <c r="I594" i="1"/>
  <c r="I167" i="2" s="1"/>
  <c r="I595" i="1"/>
  <c r="I168" i="2" s="1"/>
  <c r="J594" i="1"/>
  <c r="J167" i="2" s="1"/>
  <c r="J595" i="1"/>
  <c r="J168" i="2" s="1"/>
  <c r="I364" i="1"/>
  <c r="I566" i="1"/>
  <c r="I575" i="1" s="1"/>
  <c r="I161" i="2" s="1"/>
  <c r="J564" i="1"/>
  <c r="J573" i="1" s="1"/>
  <c r="J159" i="2" s="1"/>
  <c r="E362" i="1"/>
  <c r="H362" i="1"/>
  <c r="H364" i="1"/>
  <c r="E564" i="1"/>
  <c r="E573" i="1" s="1"/>
  <c r="E159" i="2" s="1"/>
  <c r="E510" i="1"/>
  <c r="E264" i="1"/>
  <c r="E265" i="1" s="1"/>
  <c r="E271" i="1"/>
  <c r="E274" i="1" s="1"/>
  <c r="E275" i="1" s="1"/>
  <c r="E266" i="1"/>
  <c r="H510" i="1"/>
  <c r="H264" i="1"/>
  <c r="H265" i="1" s="1"/>
  <c r="H96" i="2" s="1"/>
  <c r="H271" i="1"/>
  <c r="H274" i="1" s="1"/>
  <c r="H275" i="1" s="1"/>
  <c r="H266" i="1"/>
  <c r="C264" i="1"/>
  <c r="C265" i="1" s="1"/>
  <c r="C96" i="2" s="1"/>
  <c r="C274" i="1"/>
  <c r="C275" i="1" s="1"/>
  <c r="F510" i="1"/>
  <c r="F264" i="1"/>
  <c r="F265" i="1" s="1"/>
  <c r="F96" i="2" s="1"/>
  <c r="F97" i="2" s="1"/>
  <c r="F130" i="2" s="1"/>
  <c r="F132" i="2" s="1"/>
  <c r="F271" i="1"/>
  <c r="F274" i="1" s="1"/>
  <c r="F275" i="1" s="1"/>
  <c r="F266" i="1"/>
  <c r="I510" i="1"/>
  <c r="I264" i="1"/>
  <c r="I265" i="1" s="1"/>
  <c r="I96" i="2" s="1"/>
  <c r="I271" i="1"/>
  <c r="I266" i="1"/>
  <c r="J510" i="1"/>
  <c r="J264" i="1"/>
  <c r="J265" i="1" s="1"/>
  <c r="J96" i="2" s="1"/>
  <c r="J271" i="1"/>
  <c r="J266" i="1"/>
  <c r="G510" i="1"/>
  <c r="G264" i="1"/>
  <c r="G265" i="1" s="1"/>
  <c r="G96" i="2" s="1"/>
  <c r="G97" i="2" s="1"/>
  <c r="G130" i="2" s="1"/>
  <c r="G132" i="2" s="1"/>
  <c r="G271" i="1"/>
  <c r="G266" i="1"/>
  <c r="C266" i="1"/>
  <c r="E566" i="1"/>
  <c r="E575" i="1" s="1"/>
  <c r="E161" i="2" s="1"/>
  <c r="E364" i="1"/>
  <c r="F362" i="1"/>
  <c r="I564" i="1"/>
  <c r="I573" i="1" s="1"/>
  <c r="I159" i="2" s="1"/>
  <c r="I362" i="1"/>
  <c r="D564" i="1"/>
  <c r="D362" i="1"/>
  <c r="F449" i="1"/>
  <c r="F451" i="1" s="1"/>
  <c r="F448" i="1"/>
  <c r="C362" i="1"/>
  <c r="C564" i="1"/>
  <c r="I446" i="1"/>
  <c r="E448" i="1"/>
  <c r="E449" i="1"/>
  <c r="E451" i="1" s="1"/>
  <c r="G449" i="1"/>
  <c r="G451" i="1" s="1"/>
  <c r="G448" i="1"/>
  <c r="D566" i="1"/>
  <c r="D575" i="1" s="1"/>
  <c r="D161" i="2" s="1"/>
  <c r="D364" i="1"/>
  <c r="D267" i="1"/>
  <c r="C446" i="1"/>
  <c r="G564" i="1"/>
  <c r="G362" i="1"/>
  <c r="J566" i="1"/>
  <c r="J575" i="1" s="1"/>
  <c r="J161" i="2" s="1"/>
  <c r="J364" i="1"/>
  <c r="D449" i="1"/>
  <c r="D451" i="1" s="1"/>
  <c r="D448" i="1"/>
  <c r="F566" i="1"/>
  <c r="F575" i="1" s="1"/>
  <c r="F161" i="2" s="1"/>
  <c r="F364" i="1"/>
  <c r="G566" i="1"/>
  <c r="G575" i="1" s="1"/>
  <c r="G161" i="2" s="1"/>
  <c r="G364" i="1"/>
  <c r="C364" i="1"/>
  <c r="C566" i="1"/>
  <c r="C575" i="1" s="1"/>
  <c r="C161" i="2" s="1"/>
  <c r="J446" i="1"/>
  <c r="H446" i="1"/>
  <c r="J367" i="1" l="1"/>
  <c r="J368" i="1" s="1"/>
  <c r="H367" i="1"/>
  <c r="E367" i="1"/>
  <c r="E105" i="2" s="1"/>
  <c r="G367" i="1"/>
  <c r="G105" i="2" s="1"/>
  <c r="D367" i="1"/>
  <c r="F367" i="1"/>
  <c r="C367" i="1"/>
  <c r="C105" i="2" s="1"/>
  <c r="I367" i="1"/>
  <c r="I105" i="2" s="1"/>
  <c r="I185" i="2"/>
  <c r="I200" i="2" s="1"/>
  <c r="I202" i="2" s="1"/>
  <c r="H97" i="2"/>
  <c r="H130" i="2" s="1"/>
  <c r="H132" i="2" s="1"/>
  <c r="F185" i="2"/>
  <c r="F200" i="2" s="1"/>
  <c r="F201" i="2" s="1"/>
  <c r="J274" i="1"/>
  <c r="J275" i="1" s="1"/>
  <c r="I274" i="1"/>
  <c r="I275" i="1" s="1"/>
  <c r="J97" i="2"/>
  <c r="J130" i="2" s="1"/>
  <c r="J132" i="2" s="1"/>
  <c r="J511" i="1"/>
  <c r="I97" i="2"/>
  <c r="I130" i="2" s="1"/>
  <c r="I132" i="2" s="1"/>
  <c r="H185" i="2"/>
  <c r="H200" i="2" s="1"/>
  <c r="C97" i="2"/>
  <c r="C130" i="2" s="1"/>
  <c r="C132" i="2" s="1"/>
  <c r="E96" i="2"/>
  <c r="E97" i="2" s="1"/>
  <c r="E130" i="2" s="1"/>
  <c r="E132" i="2" s="1"/>
  <c r="E185" i="2"/>
  <c r="E200" i="2" s="1"/>
  <c r="J185" i="2"/>
  <c r="J200" i="2" s="1"/>
  <c r="H105" i="2"/>
  <c r="H570" i="1"/>
  <c r="E267" i="1"/>
  <c r="F267" i="1"/>
  <c r="G267" i="1"/>
  <c r="G513" i="1"/>
  <c r="G274" i="1"/>
  <c r="G275" i="1" s="1"/>
  <c r="I570" i="1"/>
  <c r="I579" i="1"/>
  <c r="E570" i="1"/>
  <c r="H449" i="1"/>
  <c r="H451" i="1" s="1"/>
  <c r="H448" i="1"/>
  <c r="H579" i="1"/>
  <c r="D476" i="1"/>
  <c r="D477" i="1" s="1"/>
  <c r="D488" i="1"/>
  <c r="D506" i="1" s="1"/>
  <c r="G573" i="1"/>
  <c r="G159" i="2" s="1"/>
  <c r="G185" i="2" s="1"/>
  <c r="G200" i="2" s="1"/>
  <c r="G570" i="1"/>
  <c r="E478" i="1"/>
  <c r="E486" i="1"/>
  <c r="I448" i="1"/>
  <c r="I449" i="1"/>
  <c r="I451" i="1" s="1"/>
  <c r="F478" i="1"/>
  <c r="F486" i="1"/>
  <c r="D478" i="1"/>
  <c r="D486" i="1"/>
  <c r="C267" i="1"/>
  <c r="C513" i="1"/>
  <c r="H267" i="1"/>
  <c r="H513" i="1"/>
  <c r="J267" i="1"/>
  <c r="J513" i="1"/>
  <c r="C511" i="1"/>
  <c r="G488" i="1"/>
  <c r="G506" i="1" s="1"/>
  <c r="G476" i="1"/>
  <c r="G477" i="1" s="1"/>
  <c r="I267" i="1"/>
  <c r="I513" i="1"/>
  <c r="I307" i="1"/>
  <c r="J579" i="1"/>
  <c r="F570" i="1"/>
  <c r="F579" i="1"/>
  <c r="E579" i="1"/>
  <c r="E488" i="1"/>
  <c r="E506" i="1" s="1"/>
  <c r="E476" i="1"/>
  <c r="E477" i="1" s="1"/>
  <c r="J449" i="1"/>
  <c r="J451" i="1" s="1"/>
  <c r="J448" i="1"/>
  <c r="C449" i="1"/>
  <c r="C451" i="1" s="1"/>
  <c r="C448" i="1"/>
  <c r="D513" i="1"/>
  <c r="F307" i="1"/>
  <c r="G478" i="1"/>
  <c r="G486" i="1"/>
  <c r="C570" i="1"/>
  <c r="C573" i="1"/>
  <c r="C159" i="2" s="1"/>
  <c r="C185" i="2" s="1"/>
  <c r="C200" i="2" s="1"/>
  <c r="F488" i="1"/>
  <c r="F506" i="1" s="1"/>
  <c r="F476" i="1"/>
  <c r="F477" i="1" s="1"/>
  <c r="D573" i="1"/>
  <c r="D159" i="2" s="1"/>
  <c r="D185" i="2" s="1"/>
  <c r="D200" i="2" s="1"/>
  <c r="D570" i="1"/>
  <c r="J105" i="2"/>
  <c r="J570" i="1"/>
  <c r="I201" i="2" l="1"/>
  <c r="F202" i="2"/>
  <c r="D202" i="2"/>
  <c r="D201" i="2"/>
  <c r="F368" i="1"/>
  <c r="F105" i="2"/>
  <c r="E202" i="2"/>
  <c r="E201" i="2"/>
  <c r="C201" i="2"/>
  <c r="C202" i="2"/>
  <c r="G201" i="2"/>
  <c r="G202" i="2"/>
  <c r="J202" i="2"/>
  <c r="J201" i="2"/>
  <c r="H368" i="1"/>
  <c r="D368" i="1"/>
  <c r="D105" i="2"/>
  <c r="H202" i="2"/>
  <c r="H201" i="2"/>
  <c r="E513" i="1"/>
  <c r="E368" i="1"/>
  <c r="I368" i="1"/>
  <c r="G514" i="1"/>
  <c r="F513" i="1"/>
  <c r="F479" i="1"/>
  <c r="E479" i="1"/>
  <c r="J514" i="1"/>
  <c r="G479" i="1"/>
  <c r="D579" i="1"/>
  <c r="C476" i="1"/>
  <c r="C477" i="1" s="1"/>
  <c r="C488" i="1"/>
  <c r="C506" i="1" s="1"/>
  <c r="G368" i="1"/>
  <c r="E514" i="1"/>
  <c r="C579" i="1"/>
  <c r="C486" i="1"/>
  <c r="C478" i="1"/>
  <c r="E307" i="1"/>
  <c r="I488" i="1"/>
  <c r="I506" i="1" s="1"/>
  <c r="I476" i="1"/>
  <c r="I477" i="1" s="1"/>
  <c r="H307" i="1"/>
  <c r="J307" i="1"/>
  <c r="H488" i="1"/>
  <c r="H506" i="1" s="1"/>
  <c r="H476" i="1"/>
  <c r="H477" i="1" s="1"/>
  <c r="D479" i="1"/>
  <c r="J476" i="1"/>
  <c r="J477" i="1" s="1"/>
  <c r="J488" i="1"/>
  <c r="J506" i="1" s="1"/>
  <c r="I478" i="1"/>
  <c r="I486" i="1"/>
  <c r="G579" i="1"/>
  <c r="J478" i="1"/>
  <c r="J486" i="1"/>
  <c r="C368" i="1"/>
  <c r="G504" i="1"/>
  <c r="G507" i="1" s="1"/>
  <c r="G508" i="1" s="1"/>
  <c r="G489" i="1"/>
  <c r="D514" i="1"/>
  <c r="F514" i="1"/>
  <c r="D504" i="1"/>
  <c r="D507" i="1" s="1"/>
  <c r="D508" i="1" s="1"/>
  <c r="D489" i="1"/>
  <c r="F504" i="1"/>
  <c r="F507" i="1" s="1"/>
  <c r="F508" i="1" s="1"/>
  <c r="F489" i="1"/>
  <c r="E504" i="1"/>
  <c r="E507" i="1" s="1"/>
  <c r="E508" i="1" s="1"/>
  <c r="E489" i="1"/>
  <c r="H478" i="1"/>
  <c r="H486" i="1"/>
  <c r="E134" i="2" l="1"/>
  <c r="E125" i="2"/>
  <c r="D125" i="2"/>
  <c r="D413" i="1" s="1"/>
  <c r="D414" i="1" s="1"/>
  <c r="D134" i="2"/>
  <c r="G125" i="2"/>
  <c r="G134" i="2"/>
  <c r="F125" i="2"/>
  <c r="F134" i="2"/>
  <c r="C479" i="1"/>
  <c r="I514" i="1"/>
  <c r="J479" i="1"/>
  <c r="H479" i="1"/>
  <c r="I479" i="1"/>
  <c r="C307" i="1"/>
  <c r="D307" i="1"/>
  <c r="C489" i="1"/>
  <c r="C504" i="1"/>
  <c r="C507" i="1" s="1"/>
  <c r="C508" i="1" s="1"/>
  <c r="C514" i="1"/>
  <c r="G307" i="1"/>
  <c r="H514" i="1"/>
  <c r="H504" i="1"/>
  <c r="H507" i="1" s="1"/>
  <c r="H508" i="1" s="1"/>
  <c r="H489" i="1"/>
  <c r="J504" i="1"/>
  <c r="J507" i="1" s="1"/>
  <c r="J508" i="1" s="1"/>
  <c r="J489" i="1"/>
  <c r="I489" i="1"/>
  <c r="I504" i="1"/>
  <c r="I507" i="1" s="1"/>
  <c r="I508" i="1" s="1"/>
  <c r="E139" i="2" l="1"/>
  <c r="E136" i="2"/>
  <c r="H134" i="2"/>
  <c r="H125" i="2"/>
  <c r="H413" i="1" s="1"/>
  <c r="H414" i="1" s="1"/>
  <c r="C134" i="2"/>
  <c r="C125" i="2"/>
  <c r="G139" i="2"/>
  <c r="G136" i="2"/>
  <c r="I134" i="2"/>
  <c r="I125" i="2"/>
  <c r="I413" i="1" s="1"/>
  <c r="I414" i="1" s="1"/>
  <c r="J125" i="2"/>
  <c r="J413" i="1" s="1"/>
  <c r="J414" i="1" s="1"/>
  <c r="J134" i="2"/>
  <c r="F139" i="2"/>
  <c r="F136" i="2"/>
  <c r="D139" i="2"/>
  <c r="D136" i="2"/>
  <c r="D112" i="2"/>
  <c r="E413" i="1"/>
  <c r="E414" i="1" s="1"/>
  <c r="E112" i="2" s="1"/>
  <c r="G413" i="1"/>
  <c r="G414" i="1" s="1"/>
  <c r="G112" i="2" s="1"/>
  <c r="F413" i="1"/>
  <c r="F414" i="1" s="1"/>
  <c r="F112" i="2" s="1"/>
  <c r="I139" i="2" l="1"/>
  <c r="I136" i="2"/>
  <c r="C139" i="2"/>
  <c r="C136" i="2"/>
  <c r="F148" i="2"/>
  <c r="F208" i="2" s="1"/>
  <c r="F140" i="2"/>
  <c r="E148" i="2"/>
  <c r="E208" i="2" s="1"/>
  <c r="E140" i="2"/>
  <c r="H139" i="2"/>
  <c r="H136" i="2"/>
  <c r="D148" i="2"/>
  <c r="D208" i="2" s="1"/>
  <c r="D140" i="2"/>
  <c r="J139" i="2"/>
  <c r="J136" i="2"/>
  <c r="G148" i="2"/>
  <c r="G208" i="2" s="1"/>
  <c r="G140" i="2"/>
  <c r="G124" i="2"/>
  <c r="G192" i="2" s="1"/>
  <c r="G149" i="2"/>
  <c r="F124" i="2"/>
  <c r="F192" i="2" s="1"/>
  <c r="F149" i="2"/>
  <c r="E124" i="2"/>
  <c r="E192" i="2" s="1"/>
  <c r="E149" i="2"/>
  <c r="D124" i="2"/>
  <c r="D192" i="2" s="1"/>
  <c r="D149" i="2"/>
  <c r="H112" i="2"/>
  <c r="I112" i="2"/>
  <c r="J112" i="2"/>
  <c r="C413" i="1"/>
  <c r="C414" i="1" s="1"/>
  <c r="C112" i="2" s="1"/>
  <c r="F151" i="2" l="1"/>
  <c r="F154" i="2" s="1"/>
  <c r="D151" i="2"/>
  <c r="D209" i="2" s="1"/>
  <c r="J148" i="2"/>
  <c r="J208" i="2" s="1"/>
  <c r="J140" i="2"/>
  <c r="H148" i="2"/>
  <c r="H208" i="2" s="1"/>
  <c r="H140" i="2"/>
  <c r="I148" i="2"/>
  <c r="I208" i="2" s="1"/>
  <c r="I140" i="2"/>
  <c r="E151" i="2"/>
  <c r="E154" i="2" s="1"/>
  <c r="G151" i="2"/>
  <c r="G154" i="2" s="1"/>
  <c r="C148" i="2"/>
  <c r="C208" i="2" s="1"/>
  <c r="C140" i="2"/>
  <c r="F126" i="2"/>
  <c r="F144" i="2"/>
  <c r="D126" i="2"/>
  <c r="D144" i="2"/>
  <c r="E144" i="2"/>
  <c r="F143" i="2"/>
  <c r="D143" i="2"/>
  <c r="H124" i="2"/>
  <c r="H192" i="2" s="1"/>
  <c r="H149" i="2"/>
  <c r="H151" i="2" s="1"/>
  <c r="G194" i="2"/>
  <c r="G193" i="2"/>
  <c r="J124" i="2"/>
  <c r="J192" i="2" s="1"/>
  <c r="J149" i="2"/>
  <c r="I124" i="2"/>
  <c r="I192" i="2" s="1"/>
  <c r="I149" i="2"/>
  <c r="D194" i="2"/>
  <c r="D193" i="2"/>
  <c r="F194" i="2"/>
  <c r="F193" i="2"/>
  <c r="G126" i="2"/>
  <c r="G143" i="2"/>
  <c r="E126" i="2"/>
  <c r="E193" i="2"/>
  <c r="E194" i="2"/>
  <c r="C124" i="2"/>
  <c r="C192" i="2" s="1"/>
  <c r="C149" i="2"/>
  <c r="G144" i="2"/>
  <c r="E143" i="2"/>
  <c r="I151" i="2" l="1"/>
  <c r="D154" i="2"/>
  <c r="D196" i="2" s="1"/>
  <c r="G209" i="2"/>
  <c r="G217" i="2" s="1"/>
  <c r="F209" i="2"/>
  <c r="F217" i="2" s="1"/>
  <c r="E209" i="2"/>
  <c r="E217" i="2" s="1"/>
  <c r="C151" i="2"/>
  <c r="C154" i="2" s="1"/>
  <c r="J151" i="2"/>
  <c r="J154" i="2" s="1"/>
  <c r="I143" i="2"/>
  <c r="C126" i="2"/>
  <c r="I126" i="2"/>
  <c r="I144" i="2"/>
  <c r="H143" i="2"/>
  <c r="J126" i="2"/>
  <c r="J194" i="2"/>
  <c r="J193" i="2"/>
  <c r="F221" i="2"/>
  <c r="G196" i="2"/>
  <c r="G210" i="2"/>
  <c r="G188" i="2"/>
  <c r="I193" i="2"/>
  <c r="I194" i="2"/>
  <c r="E210" i="2"/>
  <c r="E196" i="2"/>
  <c r="E188" i="2"/>
  <c r="H194" i="2"/>
  <c r="H193" i="2"/>
  <c r="C194" i="2"/>
  <c r="C193" i="2"/>
  <c r="H154" i="2"/>
  <c r="H209" i="2"/>
  <c r="F196" i="2"/>
  <c r="F210" i="2"/>
  <c r="F188" i="2"/>
  <c r="D221" i="2"/>
  <c r="D213" i="2"/>
  <c r="D217" i="2"/>
  <c r="I154" i="2"/>
  <c r="I209" i="2"/>
  <c r="H144" i="2"/>
  <c r="J143" i="2"/>
  <c r="J144" i="2"/>
  <c r="C143" i="2"/>
  <c r="H126" i="2"/>
  <c r="C144" i="2"/>
  <c r="G221" i="2" l="1"/>
  <c r="D188" i="2"/>
  <c r="C209" i="2"/>
  <c r="C213" i="2" s="1"/>
  <c r="D210" i="2"/>
  <c r="D218" i="2" s="1"/>
  <c r="G213" i="2"/>
  <c r="J209" i="2"/>
  <c r="J221" i="2" s="1"/>
  <c r="E221" i="2"/>
  <c r="E213" i="2"/>
  <c r="F213" i="2"/>
  <c r="F197" i="2"/>
  <c r="F198" i="2"/>
  <c r="C196" i="2"/>
  <c r="C210" i="2"/>
  <c r="C188" i="2"/>
  <c r="C221" i="2"/>
  <c r="H221" i="2"/>
  <c r="H213" i="2"/>
  <c r="H217" i="2"/>
  <c r="E198" i="2"/>
  <c r="E197" i="2"/>
  <c r="G222" i="2"/>
  <c r="G214" i="2"/>
  <c r="G218" i="2"/>
  <c r="D197" i="2"/>
  <c r="D198" i="2"/>
  <c r="I210" i="2"/>
  <c r="I196" i="2"/>
  <c r="I188" i="2"/>
  <c r="F222" i="2"/>
  <c r="F214" i="2"/>
  <c r="F218" i="2"/>
  <c r="J196" i="2"/>
  <c r="J210" i="2"/>
  <c r="J188" i="2"/>
  <c r="I221" i="2"/>
  <c r="I213" i="2"/>
  <c r="I217" i="2"/>
  <c r="H210" i="2"/>
  <c r="H196" i="2"/>
  <c r="H188" i="2"/>
  <c r="E222" i="2"/>
  <c r="E214" i="2"/>
  <c r="E218" i="2"/>
  <c r="G198" i="2"/>
  <c r="G197" i="2"/>
  <c r="C217" i="2" l="1"/>
  <c r="J213" i="2"/>
  <c r="D222" i="2"/>
  <c r="D214" i="2"/>
  <c r="C198" i="2"/>
  <c r="C197" i="2"/>
  <c r="J222" i="2"/>
  <c r="J214" i="2"/>
  <c r="J218" i="2"/>
  <c r="H222" i="2"/>
  <c r="H214" i="2"/>
  <c r="H218" i="2"/>
  <c r="I222" i="2"/>
  <c r="I214" i="2"/>
  <c r="I218" i="2"/>
  <c r="H198" i="2"/>
  <c r="H197" i="2"/>
  <c r="I198" i="2"/>
  <c r="I197" i="2"/>
  <c r="J197" i="2"/>
  <c r="J198" i="2"/>
  <c r="C222" i="2"/>
  <c r="C214" i="2"/>
  <c r="C218" i="2"/>
</calcChain>
</file>

<file path=xl/sharedStrings.xml><?xml version="1.0" encoding="utf-8"?>
<sst xmlns="http://schemas.openxmlformats.org/spreadsheetml/2006/main" count="2094" uniqueCount="685">
  <si>
    <t>Amortization Factors</t>
  </si>
  <si>
    <t xml:space="preserve"> Interest </t>
  </si>
  <si>
    <t>Years for Repayment</t>
  </si>
  <si>
    <t xml:space="preserve">   Rate</t>
  </si>
  <si>
    <t>(Percent)</t>
  </si>
  <si>
    <t>Calculated using the following formula:</t>
  </si>
  <si>
    <t xml:space="preserve">Amortization Factor </t>
  </si>
  <si>
    <t>=</t>
  </si>
  <si>
    <t>i</t>
  </si>
  <si>
    <t>where i = interest rate; n = number of years</t>
  </si>
  <si>
    <r>
      <t>1-(1+i)</t>
    </r>
    <r>
      <rPr>
        <vertAlign val="superscript"/>
        <sz val="12"/>
        <rFont val="Times New Roman"/>
        <family val="1"/>
      </rPr>
      <t>-n</t>
    </r>
  </si>
  <si>
    <t>Level of Care</t>
  </si>
  <si>
    <t>Protocols</t>
  </si>
  <si>
    <t>Avg Calls Per day</t>
  </si>
  <si>
    <t>No. of Calls</t>
  </si>
  <si>
    <t>% of Billable Calls</t>
  </si>
  <si>
    <t>No. of Billable Calls.</t>
  </si>
  <si>
    <t>Total Miles Driven</t>
  </si>
  <si>
    <t>No. of Billable Miles</t>
  </si>
  <si>
    <t>EX1</t>
  </si>
  <si>
    <t>EX2</t>
  </si>
  <si>
    <t>EX3</t>
  </si>
  <si>
    <t>EX4</t>
  </si>
  <si>
    <t>EX5</t>
  </si>
  <si>
    <t>EX6</t>
  </si>
  <si>
    <t>EX7</t>
  </si>
  <si>
    <t>Basic</t>
  </si>
  <si>
    <t>EX8</t>
  </si>
  <si>
    <t>EX9</t>
  </si>
  <si>
    <t>CHK (Should = 0)</t>
  </si>
  <si>
    <t>None</t>
  </si>
  <si>
    <t>Avg Cost/Computer Setup</t>
  </si>
  <si>
    <t>No. of Computer Setups</t>
  </si>
  <si>
    <t>Type I Vehicles</t>
  </si>
  <si>
    <t>No. of Type I Vehicles</t>
  </si>
  <si>
    <t>Type II Vehicles</t>
  </si>
  <si>
    <t>No. of Type II Vehicles</t>
  </si>
  <si>
    <t>Type III Vehicles</t>
  </si>
  <si>
    <t>No. of Type III Vehicles</t>
  </si>
  <si>
    <t>Cost-Type I Vehicles</t>
  </si>
  <si>
    <t>Cost-Type II Vehicles</t>
  </si>
  <si>
    <t>Cost-Type III Vehicles</t>
  </si>
  <si>
    <t>Basic Equipment</t>
  </si>
  <si>
    <t>No. of Basic Equipped</t>
  </si>
  <si>
    <t>Base Communications</t>
  </si>
  <si>
    <t>Communications/EMT</t>
  </si>
  <si>
    <t>Cost-Vehicle Radio/Unit</t>
  </si>
  <si>
    <t>Cost-Basic Equipment</t>
  </si>
  <si>
    <t>Cost-Building Base Station</t>
  </si>
  <si>
    <t>Cost-Building Substation</t>
  </si>
  <si>
    <t>Cost-Furnishings Base Station</t>
  </si>
  <si>
    <t>Cost-Furnishings Substation</t>
  </si>
  <si>
    <t>Building Base Station</t>
  </si>
  <si>
    <t>Building Substation</t>
  </si>
  <si>
    <t>Annual Amortization</t>
  </si>
  <si>
    <t>or</t>
  </si>
  <si>
    <t>8%, 25 yrs</t>
  </si>
  <si>
    <t>Mo. Building Pay</t>
  </si>
  <si>
    <t>Mo. Base Building Pay</t>
  </si>
  <si>
    <t>Amortization Factor (from Worksheet)</t>
  </si>
  <si>
    <t>Yrs Life of Base Furnishings</t>
  </si>
  <si>
    <t>Yrs Life of Substation Furnishings</t>
  </si>
  <si>
    <t>Yrs Life of Type I Vehicles</t>
  </si>
  <si>
    <t>Yrs Life of Type III Vehicles</t>
  </si>
  <si>
    <t>Yrs Life of Type II Vehicles</t>
  </si>
  <si>
    <t>Yrs Life of Basic Equipment</t>
  </si>
  <si>
    <t>Yrs Life of ALS-1 Equipment</t>
  </si>
  <si>
    <t>Yrs Life of Base Comms.</t>
  </si>
  <si>
    <t>Yrs. Life of Comms./EMT</t>
  </si>
  <si>
    <t>Yrs Life of Vehicle Radios</t>
  </si>
  <si>
    <t>% of Billable Miles-Basic</t>
  </si>
  <si>
    <t>No. of Billable  Miles-Basic</t>
  </si>
  <si>
    <t>CHK Total Billable Miles</t>
  </si>
  <si>
    <t>CHK Total Miles Driven</t>
  </si>
  <si>
    <t>No. of Miles Vehicle Life</t>
  </si>
  <si>
    <t>Miles Driven-Type I Vehicle</t>
  </si>
  <si>
    <t>Miles Driven-Type II Vehicle</t>
  </si>
  <si>
    <t>Miles Driven-Type III Vehicle</t>
  </si>
  <si>
    <t>% of Miles Driven-Type I</t>
  </si>
  <si>
    <t>% of Miles Driven-Type II</t>
  </si>
  <si>
    <t>% of Miles Drive-Type III</t>
  </si>
  <si>
    <t>Building-Base</t>
  </si>
  <si>
    <t>Building-Substation</t>
  </si>
  <si>
    <t>Computers</t>
  </si>
  <si>
    <t>Furnishings-Base</t>
  </si>
  <si>
    <t>Furnishings-Substation</t>
  </si>
  <si>
    <t>Total Capital Expenses</t>
  </si>
  <si>
    <t>Yrs Life Computer Systems</t>
  </si>
  <si>
    <t>Full-Time Manager</t>
  </si>
  <si>
    <t xml:space="preserve">Labor-Management </t>
  </si>
  <si>
    <t>Part-Time Manager</t>
  </si>
  <si>
    <t>Annual Salary</t>
  </si>
  <si>
    <t>% of Annual Salary</t>
  </si>
  <si>
    <t>Part-Time Salary</t>
  </si>
  <si>
    <t>Labor-Crew</t>
  </si>
  <si>
    <t>1st crew-based on two 24-hour shifts per week, with 40 hours regular pay and 8 hours of overtime pay</t>
  </si>
  <si>
    <t>1st crew member___________</t>
  </si>
  <si>
    <t>EMR Driver</t>
  </si>
  <si>
    <t>On-Call Hourly Pay Rate</t>
  </si>
  <si>
    <t>No. of On-Call Hours</t>
  </si>
  <si>
    <t>On-Call Pay Hours/Call</t>
  </si>
  <si>
    <t>ON-CALL</t>
  </si>
  <si>
    <t>REGULAR PAY</t>
  </si>
  <si>
    <t>Total On-Call CALL Pay</t>
  </si>
  <si>
    <t>Total On-Call HOURLY Pay</t>
  </si>
  <si>
    <t>Hourly Pay rate</t>
  </si>
  <si>
    <t>No. Hrs at Base Hourly Rate</t>
  </si>
  <si>
    <t>No. Hrs at Overtime Rate</t>
  </si>
  <si>
    <t>Overtime Rate Pay Total</t>
  </si>
  <si>
    <t>Base Hourly Pay Total</t>
  </si>
  <si>
    <t>2nd crew member___________</t>
  </si>
  <si>
    <t>Unscheduled Overtime Hours</t>
  </si>
  <si>
    <t>Unscheduled Overtime Pay</t>
  </si>
  <si>
    <t>1st Crew 1st Crew Member</t>
  </si>
  <si>
    <t>Total Call Pay</t>
  </si>
  <si>
    <t>Total Crew Regular Pay</t>
  </si>
  <si>
    <t>Adjust for Call Pay</t>
  </si>
  <si>
    <t>Adjust Crew Regular Pay</t>
  </si>
  <si>
    <t>1st Crew 2nd Crew Member</t>
  </si>
  <si>
    <t>2nd Crew 1st Crew Member</t>
  </si>
  <si>
    <t>2nd Crew 2nd Crew Member</t>
  </si>
  <si>
    <t>2nd Crew</t>
  </si>
  <si>
    <t>1st Crew</t>
  </si>
  <si>
    <t>% of Billable Miles</t>
  </si>
  <si>
    <t>No. of  Total Miles Driven-Basic</t>
  </si>
  <si>
    <t>% of Total Miles Driven-Basic</t>
  </si>
  <si>
    <t>No. of Miles Driven/Vehicle Type</t>
  </si>
  <si>
    <t>Labor-Benefits</t>
  </si>
  <si>
    <t>Labor-Crew Pay Subtotals</t>
  </si>
  <si>
    <t>Total Overtime Pay</t>
  </si>
  <si>
    <t>Total Regular Pay</t>
  </si>
  <si>
    <t xml:space="preserve">OVERTIME PAY </t>
  </si>
  <si>
    <t>Benefit Rate</t>
  </si>
  <si>
    <t>Total Benefits</t>
  </si>
  <si>
    <t>LABOR-MANAGEMENT</t>
  </si>
  <si>
    <t>Crew 1 Regular Pay</t>
  </si>
  <si>
    <t>Crew 1 Overtime Pay</t>
  </si>
  <si>
    <t>Crew 1 Benefits</t>
  </si>
  <si>
    <t>Crew 2 Regular Pay</t>
  </si>
  <si>
    <t>Crew 2 Overtime Pay</t>
  </si>
  <si>
    <t>Crew 2 Total Labor</t>
  </si>
  <si>
    <t>Crew 2 Benefits</t>
  </si>
  <si>
    <t>CHK Benefits Total</t>
  </si>
  <si>
    <t>BILLING</t>
  </si>
  <si>
    <t>Billing Clerk Benefits</t>
  </si>
  <si>
    <t>Billing Supplies</t>
  </si>
  <si>
    <t>Fee per Call</t>
  </si>
  <si>
    <t>Fee as % of Collections</t>
  </si>
  <si>
    <t>% Time spent</t>
  </si>
  <si>
    <t>Billing Clerk Annual Salary</t>
  </si>
  <si>
    <t>In-House Billing</t>
  </si>
  <si>
    <t>Billing Clerk Adj Salary</t>
  </si>
  <si>
    <t>Benefit Amount</t>
  </si>
  <si>
    <t>LABOR-TOTALS</t>
  </si>
  <si>
    <t>Crews Total Regular Pay</t>
  </si>
  <si>
    <t>Crews Total On-Call Pay</t>
  </si>
  <si>
    <t>Crews Total Overtime Pay</t>
  </si>
  <si>
    <t>Crews Total Benefits</t>
  </si>
  <si>
    <t>Crews Total Labor</t>
  </si>
  <si>
    <t>Bldg Contents Ins (rent)</t>
  </si>
  <si>
    <t>Bldg Grounds Maint</t>
  </si>
  <si>
    <t>Other Maint &amp; Repairs</t>
  </si>
  <si>
    <t>VEHICLE EXPENSES</t>
  </si>
  <si>
    <t>Vehicle Insurance</t>
  </si>
  <si>
    <t>Maint/Repairs/Insps</t>
  </si>
  <si>
    <t>Building &amp; Contents Ins (own)</t>
  </si>
  <si>
    <t>Electric</t>
  </si>
  <si>
    <t>Gas (Heat)</t>
  </si>
  <si>
    <t>Water, Trash, Misc</t>
  </si>
  <si>
    <t>Total Utilities</t>
  </si>
  <si>
    <t>Cable/Internet</t>
  </si>
  <si>
    <t>BUILDING EXPENSES-BASE</t>
  </si>
  <si>
    <t>BUILDING EXPENSES-SUBSTATION</t>
  </si>
  <si>
    <t>Rent</t>
  </si>
  <si>
    <t>UTILITIES-Base</t>
  </si>
  <si>
    <t>UTILITIES-SUBSTATION</t>
  </si>
  <si>
    <t>UTILITIES-BASE</t>
  </si>
  <si>
    <t>MEDICAL SUPPLIES</t>
  </si>
  <si>
    <t>Estimated Gas Price/Gallon</t>
  </si>
  <si>
    <t>Total cost for gas</t>
  </si>
  <si>
    <t>Total Base Cost for All Calls</t>
  </si>
  <si>
    <t>Base Cost/Call for All Calls</t>
  </si>
  <si>
    <t>Add'l Cost/Call for Basic Calls</t>
  </si>
  <si>
    <t>Total Add'l Cost for Basic Calls</t>
  </si>
  <si>
    <t>Total Medical Supplies Cost</t>
  </si>
  <si>
    <t>LICENSING EXPENSES</t>
  </si>
  <si>
    <t>Repairs</t>
  </si>
  <si>
    <t>Total Equipment Repairs/Fees</t>
  </si>
  <si>
    <t>Total Vehicle Expenses</t>
  </si>
  <si>
    <t>Total Bldg Exp-Substation</t>
  </si>
  <si>
    <t>Total Bldg Exp-Base</t>
  </si>
  <si>
    <t>LABOR SUMMARY-TOTALS</t>
  </si>
  <si>
    <t>Outsource Billling</t>
  </si>
  <si>
    <t>OFFICE SUPPLIES</t>
  </si>
  <si>
    <t>UNIFORM ALLOWANCE</t>
  </si>
  <si>
    <t>TRAINING EXPENSES</t>
  </si>
  <si>
    <t>MISCELLANEOUS</t>
  </si>
  <si>
    <t>VOLUNTEER LABOR TO DEDUCT</t>
  </si>
  <si>
    <t>Crew Regular Pay</t>
  </si>
  <si>
    <t>% Volunteer</t>
  </si>
  <si>
    <t>Total Volunteer Regular Pay</t>
  </si>
  <si>
    <t>Crew Overtime Pay</t>
  </si>
  <si>
    <t>Total Volunteer Overtime Pay</t>
  </si>
  <si>
    <t>Unscheduled Overtime</t>
  </si>
  <si>
    <t>Total Volunteer Unsched. O/T Pay</t>
  </si>
  <si>
    <t>Crew Benefits</t>
  </si>
  <si>
    <t>Total Volunteer Benefits</t>
  </si>
  <si>
    <t>Benefits</t>
  </si>
  <si>
    <t>Monthly Cost</t>
  </si>
  <si>
    <t>Mo. Equipment Costs</t>
  </si>
  <si>
    <t>Monthly Fee</t>
  </si>
  <si>
    <t>Total Equipment Repairs</t>
  </si>
  <si>
    <t>Total Mo. Equipment Fees</t>
  </si>
  <si>
    <t>Vehicle license expense</t>
  </si>
  <si>
    <t>Total License Expense</t>
  </si>
  <si>
    <t>No. of Vehicles</t>
  </si>
  <si>
    <t>Fee for Vehicle License</t>
  </si>
  <si>
    <t>Total Fees for Vehicle Licenses</t>
  </si>
  <si>
    <t>Total Office Supplies Expense</t>
  </si>
  <si>
    <t>Monthly Office Supplies Exp</t>
  </si>
  <si>
    <t>Mo. Uniform Allowance</t>
  </si>
  <si>
    <t>Total Uniform Allowance</t>
  </si>
  <si>
    <t>No. of EMRs/EMTs/Medics</t>
  </si>
  <si>
    <t>Total Training Expenses</t>
  </si>
  <si>
    <t>Mo. Training Allowance</t>
  </si>
  <si>
    <t>Volunteer Labor-Benefits</t>
  </si>
  <si>
    <t>Crew 1 Total Volunteer</t>
  </si>
  <si>
    <t>Estimated Pay/Call</t>
  </si>
  <si>
    <t>Total No. of Calls</t>
  </si>
  <si>
    <t>Fee Per Hour</t>
  </si>
  <si>
    <t>% of Operating Expense</t>
  </si>
  <si>
    <t>Total Miscellaneous Expense</t>
  </si>
  <si>
    <t>Total Operating Before Misc</t>
  </si>
  <si>
    <t>Total Operating Expenses</t>
  </si>
  <si>
    <t>Volunteer Labor-Crew 1</t>
  </si>
  <si>
    <t>Volunteer Labor-Crew 2</t>
  </si>
  <si>
    <t>Volunteer Labor- SUMMARY</t>
  </si>
  <si>
    <t>Labor-Crew Totals</t>
  </si>
  <si>
    <t>Labor-Management Total</t>
  </si>
  <si>
    <t>VOLUNTEER LABOR</t>
  </si>
  <si>
    <t>TOTAL LABOR</t>
  </si>
  <si>
    <t>PAID LABOR</t>
  </si>
  <si>
    <t>Volunteer Labor as % of Total Operating Expenses</t>
  </si>
  <si>
    <t>Paid Labor as % of Total Operating Expenses</t>
  </si>
  <si>
    <t>Call Revenues</t>
  </si>
  <si>
    <t>Avg Basic Call-Emerg</t>
  </si>
  <si>
    <t>RVU Units-Avg Basic-Emerg</t>
  </si>
  <si>
    <t>Per Call Revenues</t>
  </si>
  <si>
    <t>Total Call Revenues</t>
  </si>
  <si>
    <t>% of Billable Calls-Basic-Emerg</t>
  </si>
  <si>
    <t>Total percents</t>
  </si>
  <si>
    <t>No. of Billable Calls-Basic-Emerg</t>
  </si>
  <si>
    <t>Total Billable Calls</t>
  </si>
  <si>
    <t>Mileage Revenues</t>
  </si>
  <si>
    <r>
      <t xml:space="preserve">Mileage Rates </t>
    </r>
    <r>
      <rPr>
        <sz val="10"/>
        <color theme="1"/>
        <rFont val="Calibri"/>
        <family val="2"/>
      </rPr>
      <t>≤</t>
    </r>
    <r>
      <rPr>
        <sz val="10"/>
        <color theme="1"/>
        <rFont val="Times New Roman"/>
        <family val="1"/>
      </rPr>
      <t xml:space="preserve"> 17 miles</t>
    </r>
  </si>
  <si>
    <r>
      <t xml:space="preserve">Mileage Rate for </t>
    </r>
    <r>
      <rPr>
        <sz val="10"/>
        <color theme="1"/>
        <rFont val="Calibri"/>
        <family val="2"/>
      </rPr>
      <t xml:space="preserve">&gt; </t>
    </r>
    <r>
      <rPr>
        <sz val="10"/>
        <color theme="1"/>
        <rFont val="Times New Roman"/>
        <family val="1"/>
      </rPr>
      <t>17 miles</t>
    </r>
  </si>
  <si>
    <t>No. of Billable Calls</t>
  </si>
  <si>
    <t>Avg No. of Miles Per Call</t>
  </si>
  <si>
    <r>
      <t xml:space="preserve">Mileage Revenues for </t>
    </r>
    <r>
      <rPr>
        <sz val="10"/>
        <color theme="1"/>
        <rFont val="Calibri"/>
        <family val="2"/>
      </rPr>
      <t>&gt;</t>
    </r>
    <r>
      <rPr>
        <sz val="10"/>
        <color theme="1"/>
        <rFont val="Times New Roman"/>
        <family val="1"/>
      </rPr>
      <t xml:space="preserve"> 17 miles</t>
    </r>
  </si>
  <si>
    <r>
      <t xml:space="preserve">Total Revenues for </t>
    </r>
    <r>
      <rPr>
        <sz val="10"/>
        <color theme="1"/>
        <rFont val="Calibri"/>
        <family val="2"/>
      </rPr>
      <t>≤</t>
    </r>
    <r>
      <rPr>
        <sz val="10"/>
        <color theme="1"/>
        <rFont val="Times New Roman"/>
        <family val="1"/>
      </rPr>
      <t xml:space="preserve"> 17 miles</t>
    </r>
  </si>
  <si>
    <t>EQUIPMENT REPAIRS/MO FEES</t>
  </si>
  <si>
    <t>Volunteer Labor as % of Total Labor</t>
  </si>
  <si>
    <t>Paid Labor as % of Total Labor</t>
  </si>
  <si>
    <t>Avg Basic Call</t>
  </si>
  <si>
    <t>RVU Units-Avg Basic</t>
  </si>
  <si>
    <t>≤ 17 miles</t>
  </si>
  <si>
    <t>&gt; 17 miles</t>
  </si>
  <si>
    <t>Ad Valorem Tax</t>
  </si>
  <si>
    <t>Subsidies</t>
  </si>
  <si>
    <t>City Subsidy</t>
  </si>
  <si>
    <t>County Subsidy</t>
  </si>
  <si>
    <t>State Subsidy</t>
  </si>
  <si>
    <t>Subscriptions</t>
  </si>
  <si>
    <t>Donations</t>
  </si>
  <si>
    <t>Fundraisers</t>
  </si>
  <si>
    <t>Paid Labor</t>
  </si>
  <si>
    <t>Total Annual Capital and Annual Operating Expense to Pay</t>
  </si>
  <si>
    <t>Total Revenues</t>
  </si>
  <si>
    <r>
      <t xml:space="preserve">Adj. Mileage Rates </t>
    </r>
    <r>
      <rPr>
        <sz val="10"/>
        <color theme="1"/>
        <rFont val="Calibri"/>
        <family val="2"/>
      </rPr>
      <t>≤</t>
    </r>
    <r>
      <rPr>
        <sz val="10"/>
        <color theme="1"/>
        <rFont val="Times New Roman"/>
        <family val="1"/>
      </rPr>
      <t xml:space="preserve"> 17 miles</t>
    </r>
  </si>
  <si>
    <r>
      <t xml:space="preserve">Adj. Mileage Rate for </t>
    </r>
    <r>
      <rPr>
        <sz val="10"/>
        <color theme="1"/>
        <rFont val="Calibri"/>
        <family val="2"/>
      </rPr>
      <t xml:space="preserve">&gt; </t>
    </r>
    <r>
      <rPr>
        <sz val="10"/>
        <color theme="1"/>
        <rFont val="Times New Roman"/>
        <family val="1"/>
      </rPr>
      <t>17 miles</t>
    </r>
  </si>
  <si>
    <t>2013 Geographic Price Cost Indices (GPCI's)</t>
  </si>
  <si>
    <t>SOURCE: American College of Rheumatology; August 2013; http://www.rheumatology.org/Practice/Office/Medicare/2013_Geographic_Price_Cost_Indices_(GPCI_s)/</t>
  </si>
  <si>
    <t>* The Medicare Improvements for Patients and Providers Act of 2008 (MIPPA) established a 1.500 work GPCI for Alaska.</t>
  </si>
  <si>
    <t>Wyoming***</t>
  </si>
  <si>
    <t>Wisconsin</t>
  </si>
  <si>
    <t>West Virginia</t>
  </si>
  <si>
    <t>Rest of Washington</t>
  </si>
  <si>
    <t>Seattle (King Cnty), WA</t>
  </si>
  <si>
    <t>Virgin Islands</t>
  </si>
  <si>
    <t>Virginia</t>
  </si>
  <si>
    <t>Vermont</t>
  </si>
  <si>
    <t>Utah</t>
  </si>
  <si>
    <t>Rest of Texas</t>
  </si>
  <si>
    <t>Houston, TX</t>
  </si>
  <si>
    <t>Galveston, TX</t>
  </si>
  <si>
    <t>Fort Worth, TX</t>
  </si>
  <si>
    <t>Dallas, TX</t>
  </si>
  <si>
    <t>Brazoria, TX</t>
  </si>
  <si>
    <t>Beaumont, TX</t>
  </si>
  <si>
    <t>Austin, TX</t>
  </si>
  <si>
    <t>Tennessee</t>
  </si>
  <si>
    <t>South Dakota***</t>
  </si>
  <si>
    <t>South Carolina</t>
  </si>
  <si>
    <t>Rhode Island</t>
  </si>
  <si>
    <t>Puerto Rico</t>
  </si>
  <si>
    <t>Rest of Pennsylvania</t>
  </si>
  <si>
    <t>Metropolitan Philadelphia, PA</t>
  </si>
  <si>
    <t>Rest of Oregon</t>
  </si>
  <si>
    <t>Portland, OR</t>
  </si>
  <si>
    <t>Oklahoma</t>
  </si>
  <si>
    <t>Ohio</t>
  </si>
  <si>
    <t>North Dakota***</t>
  </si>
  <si>
    <t>North Carolina</t>
  </si>
  <si>
    <t>Rest of New York</t>
  </si>
  <si>
    <t>Queens, NY</t>
  </si>
  <si>
    <t>Poughkpsie/N NYC Suburbs, NY</t>
  </si>
  <si>
    <t>NYC Suburbs/Long I., NY</t>
  </si>
  <si>
    <t>Manhattan, NY</t>
  </si>
  <si>
    <t>New Mexico</t>
  </si>
  <si>
    <t>Rest of New Jersey</t>
  </si>
  <si>
    <t>Northern NJ</t>
  </si>
  <si>
    <t>New Hampshire</t>
  </si>
  <si>
    <t>Nevada***</t>
  </si>
  <si>
    <t>Nebraska</t>
  </si>
  <si>
    <t>Montana***</t>
  </si>
  <si>
    <t>Rest of Missouri</t>
  </si>
  <si>
    <t>Metropolitan St. Louis, MO</t>
  </si>
  <si>
    <t>Metropolitan Kansas City, MO</t>
  </si>
  <si>
    <t>Mississippi</t>
  </si>
  <si>
    <t>Minnesota</t>
  </si>
  <si>
    <t>Rest of Michigan</t>
  </si>
  <si>
    <t>Detroit, MI</t>
  </si>
  <si>
    <t>Rest of Massachusetts</t>
  </si>
  <si>
    <t>Metropolitan Boston</t>
  </si>
  <si>
    <t>Rest of Maryland</t>
  </si>
  <si>
    <t>Baltimore/Surr. Cntys, MD</t>
  </si>
  <si>
    <t>Rest of Maine</t>
  </si>
  <si>
    <t>Southern Maine</t>
  </si>
  <si>
    <t>Rest of Louisiana</t>
  </si>
  <si>
    <t>New Orleans, LA</t>
  </si>
  <si>
    <t>Kentucky</t>
  </si>
  <si>
    <t>Kansas</t>
  </si>
  <si>
    <t>Iowa</t>
  </si>
  <si>
    <t>Indiana</t>
  </si>
  <si>
    <t>Rest of Illinois</t>
  </si>
  <si>
    <t>Suburban Chicago, IL</t>
  </si>
  <si>
    <t>East St. Louis, IL</t>
  </si>
  <si>
    <t>Chicago, IL</t>
  </si>
  <si>
    <t>Idaho</t>
  </si>
  <si>
    <t>Hawaii/Guam</t>
  </si>
  <si>
    <t>Rest of Georgia</t>
  </si>
  <si>
    <t>Atlanta, GA</t>
  </si>
  <si>
    <t>Rest of Florida</t>
  </si>
  <si>
    <t>Miami, FL</t>
  </si>
  <si>
    <t>Fort Lauderdale, FL</t>
  </si>
  <si>
    <t>Delaware</t>
  </si>
  <si>
    <t>DC + MD/VA Suburbs</t>
  </si>
  <si>
    <t>Connecticut</t>
  </si>
  <si>
    <t>Colorado</t>
  </si>
  <si>
    <t>Rest of California*</t>
  </si>
  <si>
    <t>Ventura, CA</t>
  </si>
  <si>
    <t>Santa Clara, CA</t>
  </si>
  <si>
    <t>San Mateo, CA</t>
  </si>
  <si>
    <t>San Francisco, CA</t>
  </si>
  <si>
    <t>Oakland/Berkley, CA</t>
  </si>
  <si>
    <t>Marin/Napa/Solano, CA</t>
  </si>
  <si>
    <t>Los Angeles, CA</t>
  </si>
  <si>
    <t>Anaheim/Santa Ana, CA</t>
  </si>
  <si>
    <t>Arkansas</t>
  </si>
  <si>
    <t>Arizona</t>
  </si>
  <si>
    <t>Alaska**</t>
  </si>
  <si>
    <t>Alabama</t>
  </si>
  <si>
    <t>(PLI)</t>
  </si>
  <si>
    <t>(PE)</t>
  </si>
  <si>
    <t>Professional Liability Insurance</t>
  </si>
  <si>
    <t>Practice Expense</t>
  </si>
  <si>
    <t>Work *</t>
  </si>
  <si>
    <t>Locality Name</t>
  </si>
  <si>
    <t>Contractor</t>
  </si>
  <si>
    <t>Geographic Price Cost Indices (GPCI's) 2013</t>
  </si>
  <si>
    <t>Revenues Less Expenses</t>
  </si>
  <si>
    <t>% of Call Revenues Collected</t>
  </si>
  <si>
    <t>Avg Miles Per All Calls</t>
  </si>
  <si>
    <t>% of Miles Driven/Vehicle Type</t>
  </si>
  <si>
    <t xml:space="preserve">Annual Capital Expenses </t>
  </si>
  <si>
    <t xml:space="preserve">Total Capital Expenses </t>
  </si>
  <si>
    <t>LESS: VOLUNTEER Labor</t>
  </si>
  <si>
    <t>Total-Other Operating Exp</t>
  </si>
  <si>
    <t>Total Annual Capital Expense</t>
  </si>
  <si>
    <t>Total Operating Expense to Pay</t>
  </si>
  <si>
    <t>Total Operating Expenses TO PAY</t>
  </si>
  <si>
    <t>Avg Med Supply Cost Per Billable Calls</t>
  </si>
  <si>
    <t>Total All Operating Expenses &amp; Annual Capital Expense</t>
  </si>
  <si>
    <t>Total PAID Operating Expenses &amp; Annual Capital Expense</t>
  </si>
  <si>
    <t>Total All Revenues</t>
  </si>
  <si>
    <t>% of Billable Calls-Basic</t>
  </si>
  <si>
    <t>7%, 20 yrs</t>
  </si>
  <si>
    <t>For EX4-EX6, 2nd crew-based on 40 hour/week Day Crew; minimal overtime</t>
  </si>
  <si>
    <t>Avg Basic-Emerg</t>
  </si>
  <si>
    <t>Avg Basic</t>
  </si>
  <si>
    <t>City Sales Tax</t>
  </si>
  <si>
    <t>County Sales Tax</t>
  </si>
  <si>
    <t>2013 GPCI (state specific)</t>
  </si>
  <si>
    <t>Base Rate (region specific)</t>
  </si>
  <si>
    <r>
      <t xml:space="preserve">Mileage Revenues for </t>
    </r>
    <r>
      <rPr>
        <sz val="10"/>
        <color theme="1"/>
        <rFont val="Calibri"/>
        <family val="2"/>
      </rPr>
      <t>≤</t>
    </r>
    <r>
      <rPr>
        <sz val="10"/>
        <color theme="1"/>
        <rFont val="Times New Roman"/>
        <family val="1"/>
      </rPr>
      <t xml:space="preserve"> 17 miles</t>
    </r>
  </si>
  <si>
    <r>
      <t xml:space="preserve">Total Revenues for </t>
    </r>
    <r>
      <rPr>
        <sz val="10"/>
        <color theme="1"/>
        <rFont val="Calibri"/>
        <family val="2"/>
      </rPr>
      <t>&gt;</t>
    </r>
    <r>
      <rPr>
        <sz val="10"/>
        <color theme="1"/>
        <rFont val="Times New Roman"/>
        <family val="1"/>
      </rPr>
      <t xml:space="preserve"> 17 miles</t>
    </r>
  </si>
  <si>
    <t>Formula is =(RVU*(.3+(.7*GPCI)))*BASE RATE*1.03</t>
  </si>
  <si>
    <t>Mileage Rural Adjustment (from Medicare)</t>
  </si>
  <si>
    <t>Mileage Rates (from Medicare)</t>
  </si>
  <si>
    <t>BUILD YOUR OWN EMS BUDGET</t>
  </si>
  <si>
    <t>Labor-Management</t>
  </si>
  <si>
    <t>Billing Cost (Outsourcing $40 per call)</t>
  </si>
  <si>
    <t>Building Expenses-Base</t>
  </si>
  <si>
    <t>Building Expenses-Substation</t>
  </si>
  <si>
    <t>Utilities-Base</t>
  </si>
  <si>
    <t>Utilities-Substation</t>
  </si>
  <si>
    <t>Vehicle Expenses</t>
  </si>
  <si>
    <t>Medical Supplies</t>
  </si>
  <si>
    <t>Equipment Repairs/Monthly Fees</t>
  </si>
  <si>
    <t>Licensing Expenses</t>
  </si>
  <si>
    <t>Office Supplies</t>
  </si>
  <si>
    <t>Uniform Allowance</t>
  </si>
  <si>
    <t>Training Expenses</t>
  </si>
  <si>
    <t>Miscellaneous</t>
  </si>
  <si>
    <t>Annual Capital Expenses</t>
  </si>
  <si>
    <t>Annual Operating Expenses</t>
  </si>
  <si>
    <t>Labor-Crews</t>
  </si>
  <si>
    <t>LESS: Volunteer Labor</t>
  </si>
  <si>
    <t>Total Operating Expenses to pay</t>
  </si>
  <si>
    <t>Revenues</t>
  </si>
  <si>
    <t>Summary Expenses</t>
  </si>
  <si>
    <t>EQUIPMENT REPAIRS/MO. FEES</t>
  </si>
  <si>
    <t>Computer Setups</t>
  </si>
  <si>
    <t>No. of Vehicle/Patient Compartment Radios</t>
  </si>
  <si>
    <t>Vehicle/Patient Compartment Radios</t>
  </si>
  <si>
    <t xml:space="preserve">Tires </t>
  </si>
  <si>
    <t>Total cost for tires</t>
  </si>
  <si>
    <t>Replace tires every 30,000 miles</t>
  </si>
  <si>
    <t>Total cost for oil changes</t>
  </si>
  <si>
    <t>Oil, filter, lubrication</t>
  </si>
  <si>
    <t>Change oil, filter &amp; lubricate every 3,000 miles</t>
  </si>
  <si>
    <t>EMS Substation license expense</t>
  </si>
  <si>
    <t>EMS base license expense</t>
  </si>
  <si>
    <t>Annual Cost</t>
  </si>
  <si>
    <t>GEN'L LIABILITY INSURANCE, if applicable</t>
  </si>
  <si>
    <t>Total Gen'l Liability Insurance</t>
  </si>
  <si>
    <t>GEN'L LIABILITY INS</t>
  </si>
  <si>
    <t>Annual Base Labor Expense based on Various Hourly Rates and Various Benefit Rates</t>
  </si>
  <si>
    <r>
      <t xml:space="preserve"> for </t>
    </r>
    <r>
      <rPr>
        <b/>
        <i/>
        <sz val="10"/>
        <color rgb="FF000000"/>
        <rFont val="Times New Roman"/>
        <family val="1"/>
      </rPr>
      <t xml:space="preserve">ONE </t>
    </r>
    <r>
      <rPr>
        <b/>
        <sz val="10"/>
        <color rgb="FF000000"/>
        <rFont val="Times New Roman"/>
        <family val="1"/>
      </rPr>
      <t>Crew Member for 8,760 hours, 24/7</t>
    </r>
  </si>
  <si>
    <t>Possible</t>
  </si>
  <si>
    <t>Hourly</t>
  </si>
  <si>
    <t>Annual Base</t>
  </si>
  <si>
    <t>Level of Licensing</t>
  </si>
  <si>
    <t>Rate</t>
  </si>
  <si>
    <t>+10% Benefits</t>
  </si>
  <si>
    <t>+15% Benefits</t>
  </si>
  <si>
    <t>+20% Benefits</t>
  </si>
  <si>
    <t>+25% Benefits</t>
  </si>
  <si>
    <t>+30% Benefits</t>
  </si>
  <si>
    <t>Annual Base Labor Expenses based on Various Hourly Rates and Various Benefit Rates</t>
  </si>
  <si>
    <r>
      <t xml:space="preserve"> for </t>
    </r>
    <r>
      <rPr>
        <b/>
        <i/>
        <sz val="10"/>
        <color rgb="FF000000"/>
        <rFont val="Times New Roman"/>
        <family val="1"/>
      </rPr>
      <t xml:space="preserve">TWO </t>
    </r>
    <r>
      <rPr>
        <b/>
        <sz val="10"/>
        <color rgb="FF000000"/>
        <rFont val="Times New Roman"/>
        <family val="1"/>
      </rPr>
      <t>Crew Members for 8,760 hours, 24/7</t>
    </r>
  </si>
  <si>
    <t xml:space="preserve">Level </t>
  </si>
  <si>
    <t xml:space="preserve">       Avg. Hour Rate</t>
  </si>
  <si>
    <t xml:space="preserve">        Salary </t>
  </si>
  <si>
    <t xml:space="preserve">      Benefits (30%) </t>
  </si>
  <si>
    <t xml:space="preserve">   Total</t>
  </si>
  <si>
    <t>EMR</t>
  </si>
  <si>
    <t xml:space="preserve">             $8.00                  $70,080                 $21,024                         $91,104</t>
  </si>
  <si>
    <t>Basic                            $10.00                  $87,600                 $26,280                       $113,880</t>
  </si>
  <si>
    <t>Intermediate                $11.00                   $96,360                 $28,908                       $125,268</t>
  </si>
  <si>
    <t xml:space="preserve">Paramedic                    $12.00                  $105,120                $31,536                      $136,656 </t>
  </si>
  <si>
    <t>Summary</t>
  </si>
  <si>
    <t>Annual Salary Expense for One Individual by Level of Training, 40 hours/week (2,080 hours)</t>
  </si>
  <si>
    <t>Level                       Avg. Hour Rate         Salary           Benefits (30%)                   Total</t>
  </si>
  <si>
    <t xml:space="preserve">            $8.00                    $16,640                $4,992                           $21,632</t>
  </si>
  <si>
    <t>Basic                           $10.00                   $20,800                $6,240                           $27,040</t>
  </si>
  <si>
    <t>Intermediate                $11.00                   $22,880                $6,864                           $29,744</t>
  </si>
  <si>
    <t>Paramedic                   $12.00                   $24,960                 $7,488                          $32,448</t>
  </si>
  <si>
    <t>Labor Summary  Table 3 (Annual Cost for One Crew Member, based on 40 hours/week for 2,080 hours/year, at Base Hourly Rate plus Benefits)</t>
  </si>
  <si>
    <t>(2,080 hours)</t>
  </si>
  <si>
    <t>Labor Summary Table 4 (Two Crew Members, based on 40 hours/week for 2,080 hours/year,  at Base Hourly Rate plus Benefits)</t>
  </si>
  <si>
    <t>Annual Cost (2,080 hrs ea)</t>
  </si>
  <si>
    <t>Regular Pay</t>
  </si>
  <si>
    <t>NOTE: No Benefits Paid on Overtime Pay</t>
  </si>
  <si>
    <t>Overtime Pay</t>
  </si>
  <si>
    <t xml:space="preserve">Hourly </t>
  </si>
  <si>
    <t>Combined</t>
  </si>
  <si>
    <t>7,300 Hours</t>
  </si>
  <si>
    <t>1,460 Hours</t>
  </si>
  <si>
    <t>8,760 Hours</t>
  </si>
  <si>
    <t>Member</t>
  </si>
  <si>
    <t>Regular &amp;</t>
  </si>
  <si>
    <t>Per Member</t>
  </si>
  <si>
    <t>BREAKEVEN</t>
  </si>
  <si>
    <t>Volunteer Management</t>
  </si>
  <si>
    <t xml:space="preserve">Total Volunteer F-T Manager </t>
  </si>
  <si>
    <t>Total Volunteer P-T Manager</t>
  </si>
  <si>
    <t>F-T Management Annual Totals</t>
  </si>
  <si>
    <t>P-T Management Annual Totals</t>
  </si>
  <si>
    <t>Total Management Annual Totals</t>
  </si>
  <si>
    <t>Total Salary + Benefits</t>
  </si>
  <si>
    <t>Part-Time Salary + Benefits</t>
  </si>
  <si>
    <t>Volunteer Management Annual Totals</t>
  </si>
  <si>
    <t>Volunteer Crews &amp; Mgmt + Benefits Total</t>
  </si>
  <si>
    <t>For EX7-EX9, 2nd crew based on two 24-hour shifts per week with Substation, with 40 hours regular pay and 8 hours of overtime pay</t>
  </si>
  <si>
    <t>State Sales Tax</t>
  </si>
  <si>
    <t>Ad Valorem Tax (Property Tax)</t>
  </si>
  <si>
    <t>Grants</t>
  </si>
  <si>
    <r>
      <t>BILLING COST (</t>
    </r>
    <r>
      <rPr>
        <u/>
        <sz val="10"/>
        <color theme="1"/>
        <rFont val="Times New Roman"/>
        <family val="1"/>
      </rPr>
      <t>Outsource $40/call)</t>
    </r>
  </si>
  <si>
    <t>Per Call</t>
  </si>
  <si>
    <t>Expense Per Call (All Calls)</t>
  </si>
  <si>
    <t>Expense Per Call (Billable Calls)</t>
  </si>
  <si>
    <t>Revenue Per Call (All Calls)</t>
  </si>
  <si>
    <t>Revenue Per Call (Billable Calls)</t>
  </si>
  <si>
    <t>________________Total Capital Expenses</t>
  </si>
  <si>
    <t xml:space="preserve"> ____</t>
  </si>
  <si>
    <t>______________Expenses and Revenues Per Call</t>
  </si>
  <si>
    <t>______________Annual Operating Expenses</t>
  </si>
  <si>
    <t>_____________Annual Capital Expenses</t>
  </si>
  <si>
    <t>Utility Assessments/Surcharges</t>
  </si>
  <si>
    <t>(8,760 hrs)</t>
  </si>
  <si>
    <t>2 Crew Members</t>
  </si>
  <si>
    <t>Geographic Price Cost Indices (GPCI's) 2013 (CONTINUED)</t>
  </si>
  <si>
    <t>______________Revenues and Breakeven (Loss)</t>
  </si>
  <si>
    <t>BREAKEVEN (LOSS)</t>
  </si>
  <si>
    <t>Annual Base Building Based on Monthly Payment</t>
  </si>
  <si>
    <t>Annual Base Building Payment Based on Amort. Factor</t>
  </si>
  <si>
    <t>Annual Substation Building Pay Based on Monthly Payment</t>
  </si>
  <si>
    <t>Annual Substation Building Payment based on Amort. Factor</t>
  </si>
  <si>
    <t>Total Substation Bldg Annual Payment</t>
  </si>
  <si>
    <t>Total Base Bldg Annual Payment</t>
  </si>
  <si>
    <t>Total Billing Cost</t>
  </si>
  <si>
    <t>No. of Billable Calls-Basic</t>
  </si>
  <si>
    <t>EMT license expense</t>
  </si>
  <si>
    <t>No. of EMT</t>
  </si>
  <si>
    <t>Total Fees fo EMTs Licenses</t>
  </si>
  <si>
    <t xml:space="preserve"> </t>
  </si>
  <si>
    <t>1st QUARTER</t>
  </si>
  <si>
    <t>Month________</t>
  </si>
  <si>
    <t>Actual Exps</t>
  </si>
  <si>
    <t>Mo. Budget</t>
  </si>
  <si>
    <t>Yrly Budget</t>
  </si>
  <si>
    <t>Mo. %</t>
  </si>
  <si>
    <t>YTD %</t>
  </si>
  <si>
    <t>Qtr. %</t>
  </si>
  <si>
    <t>4th QUARTER</t>
  </si>
  <si>
    <t>3rd QUARTER</t>
  </si>
  <si>
    <t>2nd QUARTER</t>
  </si>
  <si>
    <t>ANNUAL</t>
  </si>
  <si>
    <t>YEAR:</t>
  </si>
  <si>
    <t>________</t>
  </si>
  <si>
    <t>SUMMARY, FOUR QUARTERS AND ANNUAL</t>
  </si>
  <si>
    <t>Revenues and Breakeven (Loss)</t>
  </si>
  <si>
    <t>Expenses and Revenues Per Call</t>
  </si>
  <si>
    <t>Equipment Repairs/Mo. Fees</t>
  </si>
  <si>
    <t>Total Calls</t>
  </si>
  <si>
    <t>ACTUAL VS BUDGET VARIANCES</t>
  </si>
  <si>
    <t>Total PAID Operating Expenses</t>
  </si>
  <si>
    <t>Total Annual Capital and PAID Operating Expenses</t>
  </si>
  <si>
    <t>Total Annual Capital Expenses</t>
  </si>
  <si>
    <t>Total PAID Labor Expenses</t>
  </si>
  <si>
    <t>As a % of PAID Operating Expenses</t>
  </si>
  <si>
    <t>CAPITAL EXPENSES</t>
  </si>
  <si>
    <t>ANNUAL CAPITAL EXPENSES</t>
  </si>
  <si>
    <t xml:space="preserve">ANNUAL PAID LABOR EXPENSE </t>
  </si>
  <si>
    <t>As a % of Annual Capital and PAID Operating Expense</t>
  </si>
  <si>
    <t>TOTAL CAPITAL EXPENSES PARAMETERS - Page 1</t>
  </si>
  <si>
    <t>TOTAL CAPITAL EXPENSES PARAMETERS (CONTINUED - Page 2)</t>
  </si>
  <si>
    <t>ANNUAL CAPITAL EXPENSES PARAMETERS - Page 1</t>
  </si>
  <si>
    <t>ANNUAL CAPITAL EXPENSES PARAMETERS (CONTINUED - Page 2)</t>
  </si>
  <si>
    <t>ANNUAL OPERATING EXPENSES PARAMETERS - Page 1</t>
  </si>
  <si>
    <t>EMR-Driver</t>
  </si>
  <si>
    <t>EMT / AEMT</t>
  </si>
  <si>
    <t>EMT / AEMT / Paramedic</t>
  </si>
  <si>
    <t>EMT</t>
  </si>
  <si>
    <t>ANNUAL OPERATING EXPENSES PARAMETERS (CONTINUED - Page 2)</t>
  </si>
  <si>
    <t>ANNUAL OPERATING EXPENSES PARAMETERS (CONTINUED - Page 3)</t>
  </si>
  <si>
    <t>ANNUAL OPERATING EXPENSES PARAMETERS (CONTINUED - Page 4)</t>
  </si>
  <si>
    <t>ANNUAL OPERATING EXPENSES PARAMETERS (CONTINUED - Page 5)</t>
  </si>
  <si>
    <t>ANNUAL OPERATING EXPENSES PARAMETERS (CONTINUED - Page 6)</t>
  </si>
  <si>
    <t>ANNUAL OPERATING EXPENSES PARAMETERS (CONTINUED - Page 7)</t>
  </si>
  <si>
    <t>ANNUAL OPERATING EXPENSES PARAMETERS (CONTINUED - Page 8)</t>
  </si>
  <si>
    <t>ANNUAL OPERATING EXPENSES PARAMETERS (CONTINUED- Page 9)</t>
  </si>
  <si>
    <t>ANNUAL OPERATING EXPENSES PARAMETERS (CONTINUED - Page 10)</t>
  </si>
  <si>
    <t>ANNUAL OPERATING EXPENSES PARAMETERS (CONTINUED - Page 11)</t>
  </si>
  <si>
    <t>ANNUAL OPERATING EXPENSES PARAMETERS (CONTINUED - Page 12)</t>
  </si>
  <si>
    <t>ANNUAL OPERATING EXPENSES PARAMETERS (CONTINUED - Page 13)</t>
  </si>
  <si>
    <t>ANNUAL OPERATING EXPENSES PARAMETERS (CONTINUED - Page 14)</t>
  </si>
  <si>
    <t>ANNUAL OPERATING EXPENSES PARAMETERS (CONTINUED - Page 15)</t>
  </si>
  <si>
    <t>ANNUAL REVENUE PARAMETERS - Page 1</t>
  </si>
  <si>
    <t>ANNUAL REVENUE PARAMETERS (CONTINUED - Page 2)</t>
  </si>
  <si>
    <t>ANNUAL REVENUE PARAMETERS (CONTINUED - Pa ge 3)</t>
  </si>
  <si>
    <t>Annual Calls</t>
  </si>
  <si>
    <t>Basic Information</t>
  </si>
  <si>
    <t>Total In-House Billing Expense</t>
  </si>
  <si>
    <t>Total Fees per Call Billing Expense</t>
  </si>
  <si>
    <t>Total % of Collections Billing Expense</t>
  </si>
  <si>
    <t>EMR/EMT</t>
  </si>
  <si>
    <t>EMT/AEMT</t>
  </si>
  <si>
    <t>AEMT/Paramedic</t>
  </si>
  <si>
    <t>AEMT/AEMT &amp; AEMT/Paramedic</t>
  </si>
  <si>
    <t>Yrly Cost (8,760 hrs ea)</t>
  </si>
  <si>
    <r>
      <t xml:space="preserve"> for </t>
    </r>
    <r>
      <rPr>
        <b/>
        <i/>
        <sz val="10"/>
        <color rgb="FF000000"/>
        <rFont val="Times New Roman"/>
        <family val="1"/>
      </rPr>
      <t xml:space="preserve">ONE </t>
    </r>
    <r>
      <rPr>
        <b/>
        <sz val="10"/>
        <color rgb="FF000000"/>
        <rFont val="Times New Roman"/>
        <family val="1"/>
      </rPr>
      <t>Crew Member for 2,080 hours/year</t>
    </r>
  </si>
  <si>
    <t xml:space="preserve">Billing Cost </t>
  </si>
  <si>
    <t xml:space="preserve">(Regular Pay 40 hours/week and Scheduled Overtime Pay 8 hours/week for 48 hours/week, </t>
  </si>
  <si>
    <t>for regular pay total of 7,300 hours/yr and scheduled overtime pay total of 1,460 hours/yr) based on Various Hourly Rates and Various Benefit Rates</t>
  </si>
  <si>
    <t xml:space="preserve"> and scheduled overtime pay total of 1,460 hours/yr/crew member) based on Various Hourly Rates and Various Benefit Rates</t>
  </si>
  <si>
    <t>EMT/AEMT &amp; EMT/Paramedic</t>
  </si>
  <si>
    <t>EMR/EMT &amp; EMT/EMT</t>
  </si>
  <si>
    <t>Labor Summary Table 1 (Annual Cost for One Crew Member, based on 8,760 hours [365 days 24 hours/day], at Base Hourly Rate plus Benefits)</t>
  </si>
  <si>
    <t>Labor Summary Table 2 (Annual Cost for Two Crew Members, based on 8,760 hours [365 days 24 hours/day] per Crew Member, at Base Hourly Rate plus Benefits)</t>
  </si>
  <si>
    <t>EMS BASIC BUDGET PARAMETERS</t>
  </si>
  <si>
    <t>No. Hrs at Scheduled Overtime Rate</t>
  </si>
  <si>
    <t>Scheduled Overtime Pay Total</t>
  </si>
  <si>
    <t>AEMT license expense</t>
  </si>
  <si>
    <t>No. of AEMTs</t>
  </si>
  <si>
    <t>Fee for AEMTs Licenses</t>
  </si>
  <si>
    <t>Total Fees for AEMTs Licenses</t>
  </si>
  <si>
    <t>Paramedic license expense</t>
  </si>
  <si>
    <t>No. of Paramedics</t>
  </si>
  <si>
    <t>Fee for Paramedics Licenses</t>
  </si>
  <si>
    <t>Total Fees for Paramedics Licenses</t>
  </si>
  <si>
    <t>Fee for EMT Licenses</t>
  </si>
  <si>
    <t>AEMTs license expense</t>
  </si>
  <si>
    <t>Paramedics license expense</t>
  </si>
  <si>
    <t>Budget</t>
  </si>
  <si>
    <t>Budget Parameters</t>
  </si>
  <si>
    <t>For EX1, one crew, part volunteer, part paid, EMR Driver and EMT; part-time manager; two Type I vehicles, equipped with Basic equipment.</t>
  </si>
  <si>
    <t>For EX2-EX3, one crew, fully paid, EMR Driver and EMT; part-time manager; two Type I vehicles, equipped with Basic equipment.</t>
  </si>
  <si>
    <t>Annual Building Mortgage Payment</t>
  </si>
  <si>
    <t>Annual Equipment Out of Pocket Payment</t>
  </si>
  <si>
    <t>Annual Equipment Loan Payment</t>
  </si>
  <si>
    <t>TOTAL CAPITAL EXPENSES</t>
  </si>
  <si>
    <t>ANALYSIS OF LABOR</t>
  </si>
  <si>
    <t>SUMMARY OF EXPENSES</t>
  </si>
  <si>
    <t>SUMMARY OF REVENUES</t>
  </si>
  <si>
    <t>EXPENSES AND REVENUES PER CALL</t>
  </si>
  <si>
    <t>FIXED CAPITAL AND LABOR COSTS</t>
  </si>
  <si>
    <t>ANNUAL OPERATING EXPENSES</t>
  </si>
  <si>
    <t>BUDGET PARAMETERS</t>
  </si>
  <si>
    <t>EXAMPLE BUDGET</t>
  </si>
  <si>
    <t>Total Annual Operating Expenses</t>
  </si>
  <si>
    <t>Total Annual Operating Expenses TO PAY</t>
  </si>
  <si>
    <t>BUDGET PARAMETERS - Page 1</t>
  </si>
  <si>
    <t>BUDGET PARAMETERS (CONTINUED - Page 2)</t>
  </si>
  <si>
    <t>NINE EMS BUDGET PARAMETERS</t>
  </si>
  <si>
    <t>NINE EMS EXAMPLE BUDGETS</t>
  </si>
  <si>
    <t>Summary of Expenses</t>
  </si>
  <si>
    <t>______________Summary of Expenses</t>
  </si>
  <si>
    <r>
      <t xml:space="preserve"> for </t>
    </r>
    <r>
      <rPr>
        <b/>
        <i/>
        <sz val="10"/>
        <color rgb="FF000000"/>
        <rFont val="Times New Roman"/>
        <family val="1"/>
      </rPr>
      <t xml:space="preserve">TWO </t>
    </r>
    <r>
      <rPr>
        <b/>
        <sz val="10"/>
        <color rgb="FF000000"/>
        <rFont val="Times New Roman"/>
        <family val="1"/>
      </rPr>
      <t>Crew Members for 2,080 hours/year</t>
    </r>
  </si>
  <si>
    <t>No. of Billable Calls-ALS</t>
  </si>
  <si>
    <t>No. of Billable Calls-ALS-Emerg</t>
  </si>
  <si>
    <t>No. of ALS Equipped</t>
  </si>
  <si>
    <t>Cost-ALS Equipment</t>
  </si>
  <si>
    <t>Add'l Cost/Call for ALS Calls</t>
  </si>
  <si>
    <t>Total Add'l Cost for ALS Calls</t>
  </si>
  <si>
    <t>% of Total Miles-ALS</t>
  </si>
  <si>
    <t>No. of Miles-ALS</t>
  </si>
  <si>
    <t>No. of Billable Miles-ALS</t>
  </si>
  <si>
    <t>% of Billable Miles-ALS</t>
  </si>
  <si>
    <t>RVU Units-Avg ALS</t>
  </si>
  <si>
    <t>RVU Units-Avg ALS-Emerg</t>
  </si>
  <si>
    <t>Avg ALS Call</t>
  </si>
  <si>
    <t>Avg ALS-Emerg</t>
  </si>
  <si>
    <t>ALS Equipment</t>
  </si>
  <si>
    <t>Avg ALS</t>
  </si>
  <si>
    <t>ALS</t>
  </si>
  <si>
    <t>For EX4-EX6, 1st crew, fully paid 24/7, 2nd crew, fully paid 40 hour/week day vehicle, crews EMT and AEMT; part-time manager for EX4; full-time manager EX5-EX6; 2 Type I vehicles and one Type II vehicle, all equipped with ALS equipment.</t>
  </si>
  <si>
    <t>For EX7-EX9, 1st crew and 2nd crew, fully paid, crew AEMT and Paramedic; base station and add substation; full-time manager; 2 Type I vehicles and one Type III vehicle, equipped with ALS equipment</t>
  </si>
  <si>
    <t>% of Billable Calls-ALS</t>
  </si>
  <si>
    <t>% of Billable Calls-ALS-Emerg</t>
  </si>
  <si>
    <t>Yrs Life of ALS Equipment</t>
  </si>
  <si>
    <t>RVU Units-Avg ALS Emerg Call</t>
  </si>
  <si>
    <t>RVU Units-Avg ALS Call</t>
  </si>
  <si>
    <t>Avg ALS-Emerg Call</t>
  </si>
  <si>
    <t>EMS base location license expense</t>
  </si>
  <si>
    <t>(Regular Pay 40 hours/week and Scheduled Overtime Pay 8 hours/week for 48 hours/week, for regular pay total of 7,300 hours/yr/crew member</t>
  </si>
  <si>
    <t xml:space="preserve">Labor Summary Table 6 Annual Cost for Two Crew Members, based on two 24 hour shifts per week </t>
  </si>
  <si>
    <t>Labor Summary Table 5 Annual Cost for One Crew Member, based on two 24 hour shifts per week,</t>
  </si>
  <si>
    <t>Estimated Gallons Gas for Type II vehicles</t>
  </si>
  <si>
    <t>Estimated Gallons Gas for Type I vehicles</t>
  </si>
  <si>
    <t>Estimated Gallons Gas for Type III vehicles</t>
  </si>
  <si>
    <t>Estimated gallons gas-Type I vehicles</t>
  </si>
  <si>
    <t>Estimated gallons gas-Type II vehicles</t>
  </si>
  <si>
    <t>Estimated gallons gas-Type III 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</si>
</sst>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8" formatCode="&quot;$&quot;#,##0.00_);[Red]\(&quot;$&quot;#,##0.00\)"/>
    <numFmt numFmtId="164" formatCode="0.000000"/>
    <numFmt numFmtId="165" formatCode="0.0%"/>
    <numFmt numFmtId="166" formatCode="&quot;$&quot;#,##0"/>
    <numFmt numFmtId="167" formatCode="&quot;$&quot;#,##0.00"/>
    <numFmt numFmtId="168" formatCode="0.0"/>
    <numFmt numFmtId="169" formatCode="0.000"/>
    <numFmt numFmtId="170" formatCode="#,##0.0"/>
  </numFmts>
  <fonts count="2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</font>
    <font>
      <b/>
      <sz val="10"/>
      <color rgb="FFFFFFFF"/>
      <name val="Times New Roman"/>
      <family val="1"/>
    </font>
    <font>
      <u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7030A0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C00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ck">
        <color rgb="FF7C004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6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0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right" indent="2"/>
    </xf>
    <xf numFmtId="0" fontId="2" fillId="0" borderId="3" xfId="0" applyFont="1" applyBorder="1"/>
    <xf numFmtId="0" fontId="2" fillId="0" borderId="0" xfId="0" applyFont="1" applyBorder="1"/>
    <xf numFmtId="0" fontId="1" fillId="0" borderId="0" xfId="0" applyFont="1" applyAlignment="1">
      <alignment horizontal="right" indent="3"/>
    </xf>
    <xf numFmtId="164" fontId="4" fillId="0" borderId="3" xfId="0" applyNumberFormat="1" applyFont="1" applyBorder="1"/>
    <xf numFmtId="164" fontId="4" fillId="0" borderId="0" xfId="0" applyNumberFormat="1" applyFont="1" applyBorder="1"/>
    <xf numFmtId="0" fontId="1" fillId="0" borderId="0" xfId="0" applyFont="1" applyBorder="1" applyAlignment="1">
      <alignment horizontal="right" indent="3"/>
    </xf>
    <xf numFmtId="0" fontId="1" fillId="0" borderId="4" xfId="0" applyFont="1" applyBorder="1" applyAlignment="1">
      <alignment horizontal="right" indent="2"/>
    </xf>
    <xf numFmtId="164" fontId="4" fillId="0" borderId="5" xfId="0" applyNumberFormat="1" applyFont="1" applyBorder="1"/>
    <xf numFmtId="164" fontId="4" fillId="0" borderId="4" xfId="0" applyNumberFormat="1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 indent="2"/>
    </xf>
    <xf numFmtId="0" fontId="4" fillId="0" borderId="0" xfId="0" quotePrefix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3" fontId="7" fillId="0" borderId="0" xfId="0" applyNumberFormat="1" applyFont="1"/>
    <xf numFmtId="165" fontId="7" fillId="0" borderId="0" xfId="0" applyNumberFormat="1" applyFont="1"/>
    <xf numFmtId="0" fontId="6" fillId="0" borderId="6" xfId="0" applyFont="1" applyBorder="1" applyAlignment="1">
      <alignment horizontal="center"/>
    </xf>
    <xf numFmtId="0" fontId="7" fillId="0" borderId="4" xfId="0" applyFont="1" applyBorder="1"/>
    <xf numFmtId="0" fontId="8" fillId="0" borderId="6" xfId="0" applyFont="1" applyBorder="1" applyAlignment="1">
      <alignment wrapText="1"/>
    </xf>
    <xf numFmtId="166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wrapText="1" indent="1"/>
    </xf>
    <xf numFmtId="0" fontId="7" fillId="0" borderId="1" xfId="0" applyFont="1" applyBorder="1"/>
    <xf numFmtId="0" fontId="7" fillId="0" borderId="0" xfId="0" applyFont="1" applyBorder="1"/>
    <xf numFmtId="166" fontId="7" fillId="0" borderId="0" xfId="0" applyNumberFormat="1" applyFont="1" applyBorder="1"/>
    <xf numFmtId="0" fontId="7" fillId="0" borderId="7" xfId="0" applyFont="1" applyBorder="1"/>
    <xf numFmtId="166" fontId="7" fillId="0" borderId="4" xfId="0" applyNumberFormat="1" applyFont="1" applyBorder="1"/>
    <xf numFmtId="167" fontId="7" fillId="0" borderId="0" xfId="0" applyNumberFormat="1" applyFont="1"/>
    <xf numFmtId="168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8" fontId="7" fillId="0" borderId="0" xfId="0" applyNumberFormat="1" applyFont="1"/>
    <xf numFmtId="0" fontId="7" fillId="0" borderId="0" xfId="0" applyFont="1" applyBorder="1" applyAlignment="1">
      <alignment wrapText="1"/>
    </xf>
    <xf numFmtId="166" fontId="7" fillId="0" borderId="7" xfId="0" applyNumberFormat="1" applyFont="1" applyBorder="1"/>
    <xf numFmtId="166" fontId="7" fillId="0" borderId="0" xfId="0" applyNumberFormat="1" applyFont="1" applyFill="1"/>
    <xf numFmtId="0" fontId="7" fillId="0" borderId="4" xfId="0" applyFont="1" applyBorder="1" applyAlignment="1">
      <alignment wrapText="1"/>
    </xf>
    <xf numFmtId="169" fontId="7" fillId="3" borderId="8" xfId="0" applyNumberFormat="1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vertical="top" wrapText="1" indent="1"/>
    </xf>
    <xf numFmtId="0" fontId="7" fillId="3" borderId="9" xfId="0" applyFont="1" applyFill="1" applyBorder="1" applyAlignment="1">
      <alignment vertical="top" wrapText="1" indent="1"/>
    </xf>
    <xf numFmtId="169" fontId="7" fillId="3" borderId="10" xfId="0" applyNumberFormat="1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vertical="top" wrapText="1" indent="1"/>
    </xf>
    <xf numFmtId="0" fontId="7" fillId="3" borderId="11" xfId="0" applyFont="1" applyFill="1" applyBorder="1" applyAlignment="1">
      <alignment vertical="top" wrapText="1" indent="1"/>
    </xf>
    <xf numFmtId="0" fontId="6" fillId="3" borderId="8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7" fillId="0" borderId="15" xfId="0" applyFont="1" applyBorder="1"/>
    <xf numFmtId="0" fontId="7" fillId="0" borderId="0" xfId="0" applyNumberFormat="1" applyFont="1"/>
    <xf numFmtId="0" fontId="7" fillId="0" borderId="0" xfId="0" applyFont="1" applyFill="1"/>
    <xf numFmtId="0" fontId="6" fillId="0" borderId="6" xfId="0" applyFont="1" applyBorder="1"/>
    <xf numFmtId="0" fontId="7" fillId="0" borderId="6" xfId="0" applyFont="1" applyBorder="1"/>
    <xf numFmtId="0" fontId="7" fillId="0" borderId="0" xfId="0" applyFont="1" applyAlignment="1">
      <alignment horizontal="left" wrapText="1" indent="2"/>
    </xf>
    <xf numFmtId="0" fontId="7" fillId="2" borderId="0" xfId="0" applyFont="1" applyFill="1" applyAlignment="1">
      <alignment horizontal="left" indent="1"/>
    </xf>
    <xf numFmtId="0" fontId="7" fillId="0" borderId="16" xfId="0" applyFont="1" applyBorder="1" applyAlignment="1">
      <alignment horizontal="center"/>
    </xf>
    <xf numFmtId="0" fontId="7" fillId="0" borderId="3" xfId="0" applyFont="1" applyBorder="1"/>
    <xf numFmtId="0" fontId="7" fillId="0" borderId="16" xfId="0" applyFont="1" applyBorder="1"/>
    <xf numFmtId="0" fontId="7" fillId="0" borderId="2" xfId="0" applyFont="1" applyBorder="1"/>
    <xf numFmtId="166" fontId="7" fillId="0" borderId="3" xfId="0" applyNumberFormat="1" applyFont="1" applyBorder="1"/>
    <xf numFmtId="0" fontId="7" fillId="0" borderId="17" xfId="0" applyFont="1" applyBorder="1"/>
    <xf numFmtId="0" fontId="8" fillId="0" borderId="20" xfId="0" applyFont="1" applyBorder="1" applyAlignment="1">
      <alignment wrapText="1"/>
    </xf>
    <xf numFmtId="0" fontId="7" fillId="0" borderId="21" xfId="0" applyFont="1" applyBorder="1" applyAlignment="1">
      <alignment horizontal="center"/>
    </xf>
    <xf numFmtId="0" fontId="7" fillId="0" borderId="20" xfId="0" applyFont="1" applyBorder="1"/>
    <xf numFmtId="166" fontId="7" fillId="0" borderId="5" xfId="0" applyNumberFormat="1" applyFont="1" applyBorder="1"/>
    <xf numFmtId="0" fontId="7" fillId="0" borderId="5" xfId="0" applyFont="1" applyBorder="1"/>
    <xf numFmtId="166" fontId="7" fillId="0" borderId="17" xfId="0" applyNumberFormat="1" applyFont="1" applyBorder="1"/>
    <xf numFmtId="166" fontId="7" fillId="0" borderId="16" xfId="0" applyNumberFormat="1" applyFont="1" applyBorder="1"/>
    <xf numFmtId="0" fontId="7" fillId="0" borderId="6" xfId="0" applyFont="1" applyBorder="1" applyAlignment="1">
      <alignment wrapText="1"/>
    </xf>
    <xf numFmtId="0" fontId="7" fillId="0" borderId="22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8" xfId="0" applyFont="1" applyBorder="1" applyAlignment="1">
      <alignment wrapText="1"/>
    </xf>
    <xf numFmtId="166" fontId="7" fillId="0" borderId="19" xfId="0" applyNumberFormat="1" applyFont="1" applyBorder="1"/>
    <xf numFmtId="0" fontId="6" fillId="0" borderId="20" xfId="0" applyFont="1" applyBorder="1" applyAlignment="1">
      <alignment horizontal="center"/>
    </xf>
    <xf numFmtId="0" fontId="7" fillId="0" borderId="21" xfId="0" applyFont="1" applyBorder="1"/>
    <xf numFmtId="0" fontId="7" fillId="0" borderId="4" xfId="0" applyFont="1" applyFill="1" applyBorder="1"/>
    <xf numFmtId="166" fontId="7" fillId="0" borderId="5" xfId="0" applyNumberFormat="1" applyFont="1" applyFill="1" applyBorder="1"/>
    <xf numFmtId="0" fontId="6" fillId="0" borderId="20" xfId="0" applyFont="1" applyBorder="1"/>
    <xf numFmtId="9" fontId="7" fillId="0" borderId="0" xfId="0" applyNumberFormat="1" applyFont="1"/>
    <xf numFmtId="0" fontId="15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4" xfId="0" quotePrefix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quotePrefix="1" applyFont="1" applyBorder="1" applyAlignment="1">
      <alignment horizontal="center"/>
    </xf>
    <xf numFmtId="8" fontId="15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right"/>
    </xf>
    <xf numFmtId="8" fontId="15" fillId="0" borderId="4" xfId="0" applyNumberFormat="1" applyFont="1" applyBorder="1" applyAlignment="1">
      <alignment horizontal="right"/>
    </xf>
    <xf numFmtId="166" fontId="7" fillId="0" borderId="4" xfId="0" applyNumberFormat="1" applyFont="1" applyBorder="1" applyAlignment="1">
      <alignment horizontal="right"/>
    </xf>
    <xf numFmtId="8" fontId="15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8" fontId="15" fillId="0" borderId="0" xfId="0" applyNumberFormat="1" applyFont="1" applyAlignment="1">
      <alignment horizontal="left"/>
    </xf>
    <xf numFmtId="166" fontId="7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horizontal="left"/>
    </xf>
    <xf numFmtId="8" fontId="1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4" xfId="0" quotePrefix="1" applyFont="1" applyBorder="1" applyAlignment="1">
      <alignment horizontal="center" wrapText="1"/>
    </xf>
    <xf numFmtId="9" fontId="7" fillId="0" borderId="0" xfId="0" applyNumberFormat="1" applyFont="1" applyBorder="1"/>
    <xf numFmtId="167" fontId="7" fillId="0" borderId="0" xfId="0" quotePrefix="1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/>
    <xf numFmtId="0" fontId="7" fillId="0" borderId="23" xfId="0" applyFont="1" applyBorder="1"/>
    <xf numFmtId="166" fontId="7" fillId="0" borderId="24" xfId="0" applyNumberFormat="1" applyFont="1" applyBorder="1"/>
    <xf numFmtId="0" fontId="7" fillId="0" borderId="23" xfId="0" applyFont="1" applyBorder="1" applyAlignment="1">
      <alignment wrapText="1"/>
    </xf>
    <xf numFmtId="0" fontId="7" fillId="0" borderId="24" xfId="0" applyFont="1" applyBorder="1"/>
    <xf numFmtId="0" fontId="7" fillId="0" borderId="2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3" fontId="7" fillId="0" borderId="24" xfId="0" applyNumberFormat="1" applyFont="1" applyBorder="1"/>
    <xf numFmtId="3" fontId="7" fillId="0" borderId="16" xfId="0" applyNumberFormat="1" applyFont="1" applyBorder="1"/>
    <xf numFmtId="165" fontId="7" fillId="0" borderId="24" xfId="0" applyNumberFormat="1" applyFont="1" applyBorder="1"/>
    <xf numFmtId="165" fontId="7" fillId="0" borderId="16" xfId="0" applyNumberFormat="1" applyFont="1" applyBorder="1"/>
    <xf numFmtId="0" fontId="7" fillId="0" borderId="23" xfId="0" applyFont="1" applyBorder="1" applyAlignment="1">
      <alignment horizontal="left" indent="1"/>
    </xf>
    <xf numFmtId="0" fontId="7" fillId="0" borderId="26" xfId="0" applyFont="1" applyBorder="1"/>
    <xf numFmtId="3" fontId="7" fillId="0" borderId="27" xfId="0" applyNumberFormat="1" applyFont="1" applyBorder="1"/>
    <xf numFmtId="3" fontId="7" fillId="0" borderId="0" xfId="0" applyNumberFormat="1" applyFont="1" applyBorder="1"/>
    <xf numFmtId="0" fontId="7" fillId="0" borderId="27" xfId="0" applyFont="1" applyBorder="1"/>
    <xf numFmtId="166" fontId="7" fillId="0" borderId="28" xfId="0" applyNumberFormat="1" applyFont="1" applyBorder="1"/>
    <xf numFmtId="0" fontId="7" fillId="0" borderId="29" xfId="0" applyFont="1" applyBorder="1"/>
    <xf numFmtId="166" fontId="7" fillId="0" borderId="24" xfId="0" applyNumberFormat="1" applyFont="1" applyFill="1" applyBorder="1"/>
    <xf numFmtId="166" fontId="7" fillId="0" borderId="16" xfId="0" applyNumberFormat="1" applyFont="1" applyFill="1" applyBorder="1"/>
    <xf numFmtId="166" fontId="7" fillId="0" borderId="24" xfId="0" applyNumberFormat="1" applyFont="1" applyFill="1" applyBorder="1" applyAlignment="1">
      <alignment horizontal="right"/>
    </xf>
    <xf numFmtId="166" fontId="7" fillId="0" borderId="16" xfId="0" applyNumberFormat="1" applyFont="1" applyFill="1" applyBorder="1" applyAlignment="1">
      <alignment horizontal="right"/>
    </xf>
    <xf numFmtId="166" fontId="7" fillId="0" borderId="24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3" xfId="0" applyFont="1" applyBorder="1" applyAlignment="1">
      <alignment horizontal="left" wrapText="1" indent="1"/>
    </xf>
    <xf numFmtId="0" fontId="7" fillId="0" borderId="23" xfId="0" applyFont="1" applyBorder="1" applyAlignment="1">
      <alignment horizontal="left" wrapText="1"/>
    </xf>
    <xf numFmtId="166" fontId="7" fillId="0" borderId="27" xfId="0" applyNumberFormat="1" applyFont="1" applyBorder="1"/>
    <xf numFmtId="166" fontId="7" fillId="0" borderId="2" xfId="0" applyNumberFormat="1" applyFont="1" applyBorder="1"/>
    <xf numFmtId="166" fontId="7" fillId="0" borderId="29" xfId="0" applyNumberFormat="1" applyFont="1" applyBorder="1"/>
    <xf numFmtId="0" fontId="7" fillId="0" borderId="6" xfId="0" applyFont="1" applyBorder="1" applyAlignment="1">
      <alignment horizontal="left" indent="1"/>
    </xf>
    <xf numFmtId="0" fontId="8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5" borderId="24" xfId="0" applyFont="1" applyFill="1" applyBorder="1" applyAlignment="1">
      <alignment horizontal="right"/>
    </xf>
    <xf numFmtId="0" fontId="7" fillId="5" borderId="16" xfId="0" applyFont="1" applyFill="1" applyBorder="1" applyAlignment="1">
      <alignment horizontal="right"/>
    </xf>
    <xf numFmtId="168" fontId="6" fillId="0" borderId="24" xfId="0" applyNumberFormat="1" applyFont="1" applyFill="1" applyBorder="1" applyAlignment="1">
      <alignment horizontal="right"/>
    </xf>
    <xf numFmtId="168" fontId="6" fillId="0" borderId="16" xfId="0" applyNumberFormat="1" applyFont="1" applyFill="1" applyBorder="1" applyAlignment="1">
      <alignment horizontal="right"/>
    </xf>
    <xf numFmtId="3" fontId="7" fillId="5" borderId="24" xfId="0" applyNumberFormat="1" applyFont="1" applyFill="1" applyBorder="1"/>
    <xf numFmtId="3" fontId="7" fillId="5" borderId="16" xfId="0" applyNumberFormat="1" applyFont="1" applyFill="1" applyBorder="1"/>
    <xf numFmtId="165" fontId="7" fillId="5" borderId="24" xfId="0" applyNumberFormat="1" applyFont="1" applyFill="1" applyBorder="1"/>
    <xf numFmtId="165" fontId="7" fillId="5" borderId="16" xfId="0" applyNumberFormat="1" applyFont="1" applyFill="1" applyBorder="1"/>
    <xf numFmtId="166" fontId="7" fillId="5" borderId="24" xfId="0" applyNumberFormat="1" applyFont="1" applyFill="1" applyBorder="1"/>
    <xf numFmtId="166" fontId="7" fillId="5" borderId="16" xfId="0" applyNumberFormat="1" applyFont="1" applyFill="1" applyBorder="1"/>
    <xf numFmtId="0" fontId="7" fillId="5" borderId="24" xfId="0" applyFont="1" applyFill="1" applyBorder="1"/>
    <xf numFmtId="0" fontId="7" fillId="5" borderId="16" xfId="0" applyFont="1" applyFill="1" applyBorder="1"/>
    <xf numFmtId="0" fontId="7" fillId="2" borderId="23" xfId="0" applyFont="1" applyFill="1" applyBorder="1" applyAlignment="1">
      <alignment horizontal="left" indent="1"/>
    </xf>
    <xf numFmtId="164" fontId="9" fillId="5" borderId="24" xfId="0" applyNumberFormat="1" applyFont="1" applyFill="1" applyBorder="1"/>
    <xf numFmtId="164" fontId="9" fillId="5" borderId="16" xfId="0" applyNumberFormat="1" applyFont="1" applyFill="1" applyBorder="1"/>
    <xf numFmtId="0" fontId="7" fillId="0" borderId="23" xfId="0" applyFont="1" applyFill="1" applyBorder="1" applyAlignment="1">
      <alignment horizontal="left" wrapText="1" indent="1"/>
    </xf>
    <xf numFmtId="166" fontId="7" fillId="2" borderId="24" xfId="0" applyNumberFormat="1" applyFont="1" applyFill="1" applyBorder="1"/>
    <xf numFmtId="166" fontId="7" fillId="2" borderId="16" xfId="0" applyNumberFormat="1" applyFont="1" applyFill="1" applyBorder="1"/>
    <xf numFmtId="0" fontId="7" fillId="0" borderId="23" xfId="0" applyFont="1" applyFill="1" applyBorder="1"/>
    <xf numFmtId="0" fontId="7" fillId="0" borderId="23" xfId="0" applyFont="1" applyFill="1" applyBorder="1" applyAlignment="1">
      <alignment horizontal="left" indent="1"/>
    </xf>
    <xf numFmtId="0" fontId="7" fillId="0" borderId="23" xfId="0" applyFont="1" applyFill="1" applyBorder="1" applyAlignment="1">
      <alignment wrapText="1"/>
    </xf>
    <xf numFmtId="168" fontId="7" fillId="0" borderId="24" xfId="0" applyNumberFormat="1" applyFont="1" applyFill="1" applyBorder="1" applyAlignment="1">
      <alignment horizontal="right"/>
    </xf>
    <xf numFmtId="168" fontId="7" fillId="0" borderId="16" xfId="0" applyNumberFormat="1" applyFont="1" applyFill="1" applyBorder="1" applyAlignment="1">
      <alignment horizontal="right"/>
    </xf>
    <xf numFmtId="0" fontId="7" fillId="0" borderId="26" xfId="0" applyFont="1" applyBorder="1" applyAlignment="1">
      <alignment wrapText="1"/>
    </xf>
    <xf numFmtId="165" fontId="7" fillId="0" borderId="0" xfId="0" applyNumberFormat="1" applyFont="1" applyBorder="1"/>
    <xf numFmtId="165" fontId="7" fillId="0" borderId="1" xfId="0" applyNumberFormat="1" applyFont="1" applyBorder="1"/>
    <xf numFmtId="167" fontId="7" fillId="5" borderId="24" xfId="0" applyNumberFormat="1" applyFont="1" applyFill="1" applyBorder="1"/>
    <xf numFmtId="167" fontId="7" fillId="5" borderId="16" xfId="0" applyNumberFormat="1" applyFont="1" applyFill="1" applyBorder="1"/>
    <xf numFmtId="168" fontId="7" fillId="5" borderId="24" xfId="0" applyNumberFormat="1" applyFont="1" applyFill="1" applyBorder="1"/>
    <xf numFmtId="168" fontId="7" fillId="5" borderId="16" xfId="0" applyNumberFormat="1" applyFont="1" applyFill="1" applyBorder="1"/>
    <xf numFmtId="0" fontId="7" fillId="0" borderId="26" xfId="0" applyFont="1" applyBorder="1" applyAlignment="1">
      <alignment horizontal="left" indent="1"/>
    </xf>
    <xf numFmtId="0" fontId="7" fillId="0" borderId="22" xfId="0" applyFont="1" applyBorder="1" applyAlignment="1">
      <alignment horizontal="left" indent="1"/>
    </xf>
    <xf numFmtId="167" fontId="7" fillId="5" borderId="25" xfId="0" applyNumberFormat="1" applyFont="1" applyFill="1" applyBorder="1"/>
    <xf numFmtId="167" fontId="7" fillId="5" borderId="5" xfId="0" applyNumberFormat="1" applyFont="1" applyFill="1" applyBorder="1"/>
    <xf numFmtId="0" fontId="6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indent="1"/>
    </xf>
    <xf numFmtId="0" fontId="7" fillId="0" borderId="6" xfId="0" applyFont="1" applyBorder="1" applyAlignment="1">
      <alignment horizontal="left"/>
    </xf>
    <xf numFmtId="9" fontId="7" fillId="5" borderId="24" xfId="0" applyNumberFormat="1" applyFont="1" applyFill="1" applyBorder="1"/>
    <xf numFmtId="9" fontId="7" fillId="5" borderId="16" xfId="0" applyNumberFormat="1" applyFont="1" applyFill="1" applyBorder="1"/>
    <xf numFmtId="6" fontId="7" fillId="5" borderId="24" xfId="0" applyNumberFormat="1" applyFont="1" applyFill="1" applyBorder="1"/>
    <xf numFmtId="6" fontId="7" fillId="5" borderId="16" xfId="0" applyNumberFormat="1" applyFont="1" applyFill="1" applyBorder="1"/>
    <xf numFmtId="170" fontId="7" fillId="0" borderId="24" xfId="0" applyNumberFormat="1" applyFont="1" applyBorder="1"/>
    <xf numFmtId="170" fontId="7" fillId="0" borderId="16" xfId="0" applyNumberFormat="1" applyFont="1" applyBorder="1"/>
    <xf numFmtId="8" fontId="7" fillId="5" borderId="24" xfId="0" applyNumberFormat="1" applyFont="1" applyFill="1" applyBorder="1"/>
    <xf numFmtId="8" fontId="7" fillId="5" borderId="16" xfId="0" applyNumberFormat="1" applyFont="1" applyFill="1" applyBorder="1"/>
    <xf numFmtId="167" fontId="7" fillId="0" borderId="24" xfId="0" applyNumberFormat="1" applyFont="1" applyBorder="1"/>
    <xf numFmtId="167" fontId="7" fillId="0" borderId="16" xfId="0" applyNumberFormat="1" applyFont="1" applyBorder="1"/>
    <xf numFmtId="0" fontId="7" fillId="0" borderId="6" xfId="0" applyFont="1" applyBorder="1" applyAlignment="1">
      <alignment horizontal="left" wrapText="1"/>
    </xf>
    <xf numFmtId="166" fontId="7" fillId="0" borderId="6" xfId="0" applyNumberFormat="1" applyFont="1" applyBorder="1"/>
    <xf numFmtId="0" fontId="7" fillId="0" borderId="6" xfId="0" applyFont="1" applyFill="1" applyBorder="1"/>
    <xf numFmtId="0" fontId="7" fillId="0" borderId="23" xfId="0" quotePrefix="1" applyFont="1" applyBorder="1"/>
    <xf numFmtId="40" fontId="7" fillId="5" borderId="24" xfId="0" applyNumberFormat="1" applyFont="1" applyFill="1" applyBorder="1"/>
    <xf numFmtId="40" fontId="7" fillId="5" borderId="16" xfId="0" applyNumberFormat="1" applyFont="1" applyFill="1" applyBorder="1"/>
    <xf numFmtId="8" fontId="7" fillId="0" borderId="24" xfId="0" applyNumberFormat="1" applyFont="1" applyBorder="1"/>
    <xf numFmtId="8" fontId="7" fillId="0" borderId="16" xfId="0" applyNumberFormat="1" applyFont="1" applyBorder="1"/>
    <xf numFmtId="0" fontId="7" fillId="0" borderId="1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6" borderId="23" xfId="0" applyFont="1" applyFill="1" applyBorder="1" applyAlignment="1">
      <alignment horizontal="left" indent="1"/>
    </xf>
    <xf numFmtId="166" fontId="7" fillId="6" borderId="24" xfId="0" applyNumberFormat="1" applyFont="1" applyFill="1" applyBorder="1"/>
    <xf numFmtId="166" fontId="7" fillId="6" borderId="16" xfId="0" applyNumberFormat="1" applyFont="1" applyFill="1" applyBorder="1"/>
    <xf numFmtId="166" fontId="7" fillId="0" borderId="0" xfId="0" applyNumberFormat="1" applyFont="1" applyFill="1" applyBorder="1"/>
    <xf numFmtId="0" fontId="7" fillId="2" borderId="0" xfId="0" applyFont="1" applyFill="1" applyBorder="1" applyAlignment="1">
      <alignment horizontal="left" indent="1"/>
    </xf>
    <xf numFmtId="0" fontId="7" fillId="6" borderId="23" xfId="0" applyFont="1" applyFill="1" applyBorder="1" applyAlignment="1">
      <alignment horizontal="left" wrapText="1" indent="1"/>
    </xf>
    <xf numFmtId="0" fontId="7" fillId="2" borderId="23" xfId="0" applyFont="1" applyFill="1" applyBorder="1" applyAlignment="1">
      <alignment horizontal="left" wrapText="1"/>
    </xf>
    <xf numFmtId="0" fontId="7" fillId="2" borderId="23" xfId="0" applyFont="1" applyFill="1" applyBorder="1"/>
    <xf numFmtId="2" fontId="7" fillId="0" borderId="24" xfId="0" applyNumberFormat="1" applyFont="1" applyFill="1" applyBorder="1"/>
    <xf numFmtId="2" fontId="7" fillId="0" borderId="16" xfId="0" applyNumberFormat="1" applyFont="1" applyFill="1" applyBorder="1"/>
    <xf numFmtId="0" fontId="7" fillId="0" borderId="0" xfId="0" applyFont="1" applyAlignment="1">
      <alignment wrapText="1"/>
    </xf>
    <xf numFmtId="0" fontId="17" fillId="0" borderId="0" xfId="0" applyFont="1"/>
    <xf numFmtId="0" fontId="17" fillId="0" borderId="0" xfId="0" applyFont="1" applyBorder="1"/>
    <xf numFmtId="0" fontId="7" fillId="0" borderId="31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166" fontId="7" fillId="0" borderId="25" xfId="0" applyNumberFormat="1" applyFont="1" applyBorder="1"/>
    <xf numFmtId="0" fontId="7" fillId="0" borderId="23" xfId="0" applyFont="1" applyBorder="1" applyAlignment="1">
      <alignment horizontal="left" wrapText="1" indent="2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57" xfId="0" applyFont="1" applyBorder="1" applyAlignment="1">
      <alignment wrapText="1"/>
    </xf>
    <xf numFmtId="0" fontId="17" fillId="0" borderId="58" xfId="0" applyFont="1" applyBorder="1" applyAlignment="1">
      <alignment wrapText="1"/>
    </xf>
    <xf numFmtId="0" fontId="17" fillId="0" borderId="68" xfId="0" applyFont="1" applyBorder="1" applyAlignment="1">
      <alignment wrapText="1"/>
    </xf>
    <xf numFmtId="0" fontId="17" fillId="0" borderId="74" xfId="0" applyFont="1" applyBorder="1" applyAlignment="1">
      <alignment wrapText="1"/>
    </xf>
    <xf numFmtId="0" fontId="17" fillId="0" borderId="75" xfId="0" applyFont="1" applyBorder="1" applyAlignment="1">
      <alignment wrapText="1"/>
    </xf>
    <xf numFmtId="0" fontId="17" fillId="0" borderId="58" xfId="0" applyFont="1" applyBorder="1" applyAlignment="1">
      <alignment horizontal="left" wrapText="1"/>
    </xf>
    <xf numFmtId="0" fontId="17" fillId="0" borderId="75" xfId="0" applyFont="1" applyBorder="1" applyAlignment="1">
      <alignment horizontal="left" wrapText="1"/>
    </xf>
    <xf numFmtId="0" fontId="17" fillId="0" borderId="76" xfId="0" applyFont="1" applyBorder="1" applyAlignment="1">
      <alignment wrapText="1"/>
    </xf>
    <xf numFmtId="0" fontId="17" fillId="0" borderId="35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7" fillId="0" borderId="37" xfId="0" applyFont="1" applyBorder="1" applyAlignment="1">
      <alignment wrapText="1"/>
    </xf>
    <xf numFmtId="0" fontId="17" fillId="0" borderId="77" xfId="0" applyFont="1" applyBorder="1" applyAlignment="1">
      <alignment wrapText="1"/>
    </xf>
    <xf numFmtId="0" fontId="17" fillId="0" borderId="80" xfId="0" applyFont="1" applyBorder="1" applyAlignment="1">
      <alignment wrapText="1"/>
    </xf>
    <xf numFmtId="166" fontId="7" fillId="0" borderId="20" xfId="0" applyNumberFormat="1" applyFont="1" applyBorder="1" applyAlignment="1">
      <alignment horizontal="center"/>
    </xf>
    <xf numFmtId="166" fontId="7" fillId="0" borderId="20" xfId="0" applyNumberFormat="1" applyFont="1" applyBorder="1"/>
    <xf numFmtId="0" fontId="17" fillId="0" borderId="55" xfId="0" applyFont="1" applyBorder="1" applyAlignment="1">
      <alignment wrapText="1"/>
    </xf>
    <xf numFmtId="0" fontId="7" fillId="0" borderId="0" xfId="0" applyFont="1"/>
    <xf numFmtId="165" fontId="20" fillId="0" borderId="66" xfId="0" applyNumberFormat="1" applyFont="1" applyBorder="1" applyAlignment="1">
      <alignment horizontal="right"/>
    </xf>
    <xf numFmtId="165" fontId="20" fillId="0" borderId="69" xfId="0" applyNumberFormat="1" applyFont="1" applyBorder="1" applyAlignment="1">
      <alignment horizontal="right"/>
    </xf>
    <xf numFmtId="165" fontId="20" fillId="0" borderId="24" xfId="0" applyNumberFormat="1" applyFont="1" applyBorder="1" applyAlignment="1">
      <alignment horizontal="right"/>
    </xf>
    <xf numFmtId="165" fontId="20" fillId="0" borderId="16" xfId="0" applyNumberFormat="1" applyFont="1" applyBorder="1" applyAlignment="1">
      <alignment horizontal="right"/>
    </xf>
    <xf numFmtId="165" fontId="20" fillId="0" borderId="27" xfId="0" applyNumberFormat="1" applyFont="1" applyBorder="1" applyAlignment="1">
      <alignment horizontal="right"/>
    </xf>
    <xf numFmtId="165" fontId="20" fillId="0" borderId="2" xfId="0" applyNumberFormat="1" applyFont="1" applyBorder="1" applyAlignment="1">
      <alignment horizontal="right"/>
    </xf>
    <xf numFmtId="165" fontId="20" fillId="0" borderId="65" xfId="0" applyNumberFormat="1" applyFont="1" applyBorder="1" applyAlignment="1">
      <alignment horizontal="right"/>
    </xf>
    <xf numFmtId="165" fontId="20" fillId="0" borderId="70" xfId="0" applyNumberFormat="1" applyFont="1" applyBorder="1" applyAlignment="1">
      <alignment horizontal="right"/>
    </xf>
    <xf numFmtId="165" fontId="20" fillId="0" borderId="0" xfId="0" applyNumberFormat="1" applyFont="1" applyBorder="1" applyAlignment="1">
      <alignment horizontal="right"/>
    </xf>
    <xf numFmtId="165" fontId="21" fillId="0" borderId="0" xfId="0" applyNumberFormat="1" applyFont="1" applyAlignment="1">
      <alignment horizontal="left" wrapText="1"/>
    </xf>
    <xf numFmtId="165" fontId="20" fillId="0" borderId="0" xfId="0" applyNumberFormat="1" applyFont="1"/>
    <xf numFmtId="165" fontId="20" fillId="0" borderId="20" xfId="0" applyNumberFormat="1" applyFont="1" applyBorder="1"/>
    <xf numFmtId="165" fontId="20" fillId="0" borderId="72" xfId="0" applyNumberFormat="1" applyFont="1" applyBorder="1" applyAlignment="1">
      <alignment horizontal="right"/>
    </xf>
    <xf numFmtId="165" fontId="20" fillId="0" borderId="25" xfId="0" applyNumberFormat="1" applyFont="1" applyBorder="1" applyAlignment="1">
      <alignment horizontal="right"/>
    </xf>
    <xf numFmtId="165" fontId="20" fillId="0" borderId="0" xfId="0" applyNumberFormat="1" applyFont="1" applyBorder="1"/>
    <xf numFmtId="166" fontId="20" fillId="0" borderId="66" xfId="0" applyNumberFormat="1" applyFont="1" applyBorder="1" applyAlignment="1">
      <alignment horizontal="right"/>
    </xf>
    <xf numFmtId="166" fontId="20" fillId="0" borderId="54" xfId="0" applyNumberFormat="1" applyFont="1" applyBorder="1" applyAlignment="1">
      <alignment horizontal="right"/>
    </xf>
    <xf numFmtId="166" fontId="20" fillId="0" borderId="24" xfId="0" applyNumberFormat="1" applyFont="1" applyBorder="1" applyAlignment="1">
      <alignment horizontal="right"/>
    </xf>
    <xf numFmtId="166" fontId="20" fillId="0" borderId="36" xfId="0" applyNumberFormat="1" applyFont="1" applyFill="1" applyBorder="1" applyAlignment="1">
      <alignment horizontal="right"/>
    </xf>
    <xf numFmtId="166" fontId="20" fillId="0" borderId="36" xfId="0" applyNumberFormat="1" applyFont="1" applyBorder="1" applyAlignment="1">
      <alignment horizontal="right"/>
    </xf>
    <xf numFmtId="166" fontId="20" fillId="0" borderId="7" xfId="0" applyNumberFormat="1" applyFont="1" applyBorder="1"/>
    <xf numFmtId="166" fontId="20" fillId="0" borderId="82" xfId="0" applyNumberFormat="1" applyFont="1" applyBorder="1"/>
    <xf numFmtId="165" fontId="20" fillId="0" borderId="44" xfId="0" applyNumberFormat="1" applyFont="1" applyBorder="1" applyAlignment="1">
      <alignment horizontal="center"/>
    </xf>
    <xf numFmtId="165" fontId="20" fillId="0" borderId="45" xfId="0" applyNumberFormat="1" applyFont="1" applyBorder="1" applyAlignment="1">
      <alignment horizontal="center"/>
    </xf>
    <xf numFmtId="165" fontId="20" fillId="0" borderId="16" xfId="0" applyNumberFormat="1" applyFont="1" applyBorder="1"/>
    <xf numFmtId="165" fontId="20" fillId="0" borderId="36" xfId="0" applyNumberFormat="1" applyFont="1" applyBorder="1"/>
    <xf numFmtId="165" fontId="20" fillId="0" borderId="19" xfId="0" applyNumberFormat="1" applyFont="1" applyBorder="1"/>
    <xf numFmtId="165" fontId="20" fillId="0" borderId="38" xfId="0" applyNumberFormat="1" applyFont="1" applyBorder="1"/>
    <xf numFmtId="165" fontId="20" fillId="0" borderId="69" xfId="0" applyNumberFormat="1" applyFont="1" applyBorder="1"/>
    <xf numFmtId="165" fontId="20" fillId="0" borderId="54" xfId="0" applyNumberFormat="1" applyFont="1" applyBorder="1"/>
    <xf numFmtId="165" fontId="20" fillId="0" borderId="17" xfId="0" applyNumberFormat="1" applyFont="1" applyBorder="1"/>
    <xf numFmtId="165" fontId="20" fillId="0" borderId="51" xfId="0" applyNumberFormat="1" applyFont="1" applyBorder="1"/>
    <xf numFmtId="165" fontId="20" fillId="0" borderId="72" xfId="0" applyNumberFormat="1" applyFont="1" applyBorder="1"/>
    <xf numFmtId="165" fontId="20" fillId="0" borderId="70" xfId="0" applyNumberFormat="1" applyFont="1" applyBorder="1"/>
    <xf numFmtId="165" fontId="20" fillId="0" borderId="73" xfId="0" applyNumberFormat="1" applyFont="1" applyBorder="1"/>
    <xf numFmtId="165" fontId="20" fillId="0" borderId="59" xfId="0" applyNumberFormat="1" applyFont="1" applyBorder="1"/>
    <xf numFmtId="0" fontId="21" fillId="0" borderId="0" xfId="0" applyFont="1" applyAlignment="1">
      <alignment horizontal="left" wrapText="1"/>
    </xf>
    <xf numFmtId="0" fontId="20" fillId="0" borderId="0" xfId="0" applyFont="1"/>
    <xf numFmtId="0" fontId="20" fillId="0" borderId="0" xfId="0" applyFont="1" applyBorder="1"/>
    <xf numFmtId="166" fontId="20" fillId="0" borderId="0" xfId="0" applyNumberFormat="1" applyFont="1" applyBorder="1"/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8" xfId="0" applyFont="1" applyBorder="1"/>
    <xf numFmtId="165" fontId="20" fillId="0" borderId="65" xfId="0" applyNumberFormat="1" applyFont="1" applyBorder="1"/>
    <xf numFmtId="165" fontId="20" fillId="0" borderId="66" xfId="0" applyNumberFormat="1" applyFont="1" applyBorder="1"/>
    <xf numFmtId="165" fontId="20" fillId="0" borderId="24" xfId="0" applyNumberFormat="1" applyFont="1" applyBorder="1"/>
    <xf numFmtId="0" fontId="20" fillId="0" borderId="70" xfId="0" applyFont="1" applyBorder="1"/>
    <xf numFmtId="0" fontId="20" fillId="0" borderId="59" xfId="0" applyFont="1" applyBorder="1"/>
    <xf numFmtId="165" fontId="20" fillId="0" borderId="54" xfId="0" applyNumberFormat="1" applyFont="1" applyBorder="1" applyAlignment="1">
      <alignment horizontal="right"/>
    </xf>
    <xf numFmtId="165" fontId="20" fillId="0" borderId="36" xfId="0" applyNumberFormat="1" applyFont="1" applyBorder="1" applyAlignment="1">
      <alignment horizontal="right"/>
    </xf>
    <xf numFmtId="165" fontId="20" fillId="0" borderId="41" xfId="0" applyNumberFormat="1" applyFont="1" applyBorder="1" applyAlignment="1">
      <alignment horizontal="right"/>
    </xf>
    <xf numFmtId="165" fontId="20" fillId="0" borderId="38" xfId="0" applyNumberFormat="1" applyFont="1" applyBorder="1" applyAlignment="1">
      <alignment horizontal="right"/>
    </xf>
    <xf numFmtId="165" fontId="20" fillId="0" borderId="19" xfId="0" applyNumberFormat="1" applyFont="1" applyBorder="1" applyAlignment="1">
      <alignment horizontal="right"/>
    </xf>
    <xf numFmtId="0" fontId="20" fillId="0" borderId="67" xfId="0" applyFont="1" applyBorder="1" applyAlignment="1">
      <alignment horizontal="center"/>
    </xf>
    <xf numFmtId="0" fontId="20" fillId="0" borderId="56" xfId="0" applyFont="1" applyBorder="1" applyAlignment="1">
      <alignment horizontal="center"/>
    </xf>
    <xf numFmtId="165" fontId="20" fillId="0" borderId="62" xfId="0" applyNumberFormat="1" applyFont="1" applyBorder="1" applyAlignment="1">
      <alignment horizontal="right"/>
    </xf>
    <xf numFmtId="165" fontId="20" fillId="0" borderId="4" xfId="0" applyNumberFormat="1" applyFont="1" applyBorder="1" applyAlignment="1">
      <alignment horizontal="right"/>
    </xf>
    <xf numFmtId="165" fontId="20" fillId="0" borderId="71" xfId="0" applyNumberFormat="1" applyFont="1" applyBorder="1" applyAlignment="1">
      <alignment horizontal="right"/>
    </xf>
    <xf numFmtId="0" fontId="20" fillId="0" borderId="7" xfId="0" applyFont="1" applyBorder="1"/>
    <xf numFmtId="0" fontId="20" fillId="0" borderId="82" xfId="0" applyFont="1" applyBorder="1"/>
    <xf numFmtId="165" fontId="20" fillId="0" borderId="66" xfId="0" applyNumberFormat="1" applyFont="1" applyFill="1" applyBorder="1" applyAlignment="1">
      <alignment horizontal="right"/>
    </xf>
    <xf numFmtId="165" fontId="20" fillId="0" borderId="54" xfId="0" applyNumberFormat="1" applyFont="1" applyFill="1" applyBorder="1" applyAlignment="1">
      <alignment horizontal="right"/>
    </xf>
    <xf numFmtId="165" fontId="20" fillId="0" borderId="24" xfId="0" applyNumberFormat="1" applyFont="1" applyFill="1" applyBorder="1" applyAlignment="1">
      <alignment horizontal="right"/>
    </xf>
    <xf numFmtId="165" fontId="20" fillId="0" borderId="36" xfId="0" applyNumberFormat="1" applyFont="1" applyFill="1" applyBorder="1" applyAlignment="1">
      <alignment horizontal="right"/>
    </xf>
    <xf numFmtId="165" fontId="20" fillId="0" borderId="27" xfId="0" applyNumberFormat="1" applyFont="1" applyFill="1" applyBorder="1" applyAlignment="1">
      <alignment horizontal="right"/>
    </xf>
    <xf numFmtId="165" fontId="20" fillId="0" borderId="62" xfId="0" applyNumberFormat="1" applyFont="1" applyFill="1" applyBorder="1" applyAlignment="1">
      <alignment horizontal="right"/>
    </xf>
    <xf numFmtId="165" fontId="20" fillId="0" borderId="5" xfId="0" applyNumberFormat="1" applyFont="1" applyBorder="1" applyAlignment="1">
      <alignment horizontal="right"/>
    </xf>
    <xf numFmtId="165" fontId="20" fillId="0" borderId="52" xfId="0" applyNumberFormat="1" applyFont="1" applyBorder="1" applyAlignment="1">
      <alignment horizontal="right"/>
    </xf>
    <xf numFmtId="0" fontId="17" fillId="0" borderId="50" xfId="0" applyFont="1" applyBorder="1" applyAlignment="1">
      <alignment wrapText="1"/>
    </xf>
    <xf numFmtId="165" fontId="20" fillId="0" borderId="7" xfId="0" applyNumberFormat="1" applyFont="1" applyBorder="1"/>
    <xf numFmtId="165" fontId="20" fillId="0" borderId="82" xfId="0" applyNumberFormat="1" applyFont="1" applyBorder="1"/>
    <xf numFmtId="0" fontId="17" fillId="0" borderId="49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18" fillId="0" borderId="57" xfId="0" applyFont="1" applyBorder="1" applyAlignment="1">
      <alignment wrapText="1"/>
    </xf>
    <xf numFmtId="165" fontId="20" fillId="0" borderId="69" xfId="0" applyNumberFormat="1" applyFont="1" applyBorder="1" applyAlignment="1">
      <alignment horizontal="center"/>
    </xf>
    <xf numFmtId="165" fontId="20" fillId="0" borderId="54" xfId="0" applyNumberFormat="1" applyFont="1" applyBorder="1" applyAlignment="1">
      <alignment horizontal="center"/>
    </xf>
    <xf numFmtId="0" fontId="20" fillId="0" borderId="54" xfId="0" applyFont="1" applyBorder="1" applyAlignment="1">
      <alignment horizontal="center"/>
    </xf>
    <xf numFmtId="0" fontId="17" fillId="0" borderId="85" xfId="0" applyFont="1" applyBorder="1" applyAlignment="1">
      <alignment wrapText="1"/>
    </xf>
    <xf numFmtId="0" fontId="17" fillId="0" borderId="33" xfId="0" applyFont="1" applyBorder="1" applyAlignment="1">
      <alignment wrapText="1"/>
    </xf>
    <xf numFmtId="0" fontId="17" fillId="0" borderId="47" xfId="0" applyFont="1" applyBorder="1" applyAlignment="1">
      <alignment wrapText="1"/>
    </xf>
    <xf numFmtId="165" fontId="20" fillId="0" borderId="1" xfId="0" applyNumberFormat="1" applyFont="1" applyBorder="1" applyAlignment="1">
      <alignment horizontal="right"/>
    </xf>
    <xf numFmtId="165" fontId="20" fillId="0" borderId="86" xfId="0" applyNumberFormat="1" applyFont="1" applyBorder="1" applyAlignment="1">
      <alignment horizontal="right"/>
    </xf>
    <xf numFmtId="165" fontId="20" fillId="0" borderId="43" xfId="0" applyNumberFormat="1" applyFont="1" applyBorder="1" applyAlignment="1">
      <alignment horizontal="right"/>
    </xf>
    <xf numFmtId="166" fontId="20" fillId="0" borderId="69" xfId="0" applyNumberFormat="1" applyFont="1" applyBorder="1" applyAlignment="1">
      <alignment horizontal="right"/>
    </xf>
    <xf numFmtId="0" fontId="20" fillId="0" borderId="56" xfId="0" applyFont="1" applyBorder="1"/>
    <xf numFmtId="165" fontId="20" fillId="0" borderId="41" xfId="0" applyNumberFormat="1" applyFont="1" applyBorder="1"/>
    <xf numFmtId="0" fontId="7" fillId="0" borderId="47" xfId="0" applyFont="1" applyBorder="1" applyAlignment="1">
      <alignment wrapText="1"/>
    </xf>
    <xf numFmtId="0" fontId="20" fillId="0" borderId="65" xfId="0" applyFont="1" applyBorder="1"/>
    <xf numFmtId="0" fontId="17" fillId="0" borderId="34" xfId="0" applyFont="1" applyBorder="1" applyAlignment="1">
      <alignment horizontal="left" wrapText="1"/>
    </xf>
    <xf numFmtId="0" fontId="17" fillId="0" borderId="33" xfId="0" applyFont="1" applyBorder="1" applyAlignment="1">
      <alignment horizontal="left" wrapText="1"/>
    </xf>
    <xf numFmtId="0" fontId="17" fillId="0" borderId="47" xfId="0" applyFont="1" applyBorder="1" applyAlignment="1">
      <alignment horizontal="left" wrapText="1"/>
    </xf>
    <xf numFmtId="0" fontId="7" fillId="0" borderId="50" xfId="0" applyFont="1" applyBorder="1" applyAlignment="1">
      <alignment wrapText="1"/>
    </xf>
    <xf numFmtId="165" fontId="20" fillId="0" borderId="7" xfId="0" applyNumberFormat="1" applyFont="1" applyBorder="1" applyAlignment="1">
      <alignment horizontal="right"/>
    </xf>
    <xf numFmtId="165" fontId="20" fillId="0" borderId="82" xfId="0" applyNumberFormat="1" applyFont="1" applyBorder="1" applyAlignment="1">
      <alignment horizontal="right"/>
    </xf>
    <xf numFmtId="165" fontId="20" fillId="0" borderId="67" xfId="0" applyNumberFormat="1" applyFont="1" applyBorder="1" applyAlignment="1">
      <alignment horizontal="right"/>
    </xf>
    <xf numFmtId="165" fontId="20" fillId="0" borderId="56" xfId="0" applyNumberFormat="1" applyFont="1" applyBorder="1" applyAlignment="1">
      <alignment horizontal="right"/>
    </xf>
    <xf numFmtId="165" fontId="20" fillId="0" borderId="87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wrapText="1"/>
    </xf>
    <xf numFmtId="165" fontId="20" fillId="0" borderId="69" xfId="0" applyNumberFormat="1" applyFont="1" applyFill="1" applyBorder="1" applyAlignment="1">
      <alignment horizontal="right"/>
    </xf>
    <xf numFmtId="165" fontId="20" fillId="0" borderId="67" xfId="0" applyNumberFormat="1" applyFont="1" applyFill="1" applyBorder="1" applyAlignment="1">
      <alignment horizontal="right"/>
    </xf>
    <xf numFmtId="165" fontId="20" fillId="0" borderId="56" xfId="0" applyNumberFormat="1" applyFont="1" applyFill="1" applyBorder="1" applyAlignment="1">
      <alignment horizontal="right"/>
    </xf>
    <xf numFmtId="165" fontId="20" fillId="0" borderId="87" xfId="0" applyNumberFormat="1" applyFont="1" applyFill="1" applyBorder="1" applyAlignment="1">
      <alignment horizontal="right"/>
    </xf>
    <xf numFmtId="166" fontId="20" fillId="0" borderId="16" xfId="0" applyNumberFormat="1" applyFont="1" applyFill="1" applyBorder="1" applyAlignment="1">
      <alignment horizontal="right"/>
    </xf>
    <xf numFmtId="166" fontId="20" fillId="0" borderId="16" xfId="0" applyNumberFormat="1" applyFont="1" applyBorder="1" applyAlignment="1">
      <alignment horizontal="right"/>
    </xf>
    <xf numFmtId="0" fontId="20" fillId="0" borderId="87" xfId="0" applyFont="1" applyBorder="1" applyAlignment="1">
      <alignment horizontal="center"/>
    </xf>
    <xf numFmtId="166" fontId="20" fillId="0" borderId="56" xfId="0" applyNumberFormat="1" applyFont="1" applyBorder="1" applyAlignment="1">
      <alignment horizontal="right"/>
    </xf>
    <xf numFmtId="166" fontId="20" fillId="5" borderId="63" xfId="0" applyNumberFormat="1" applyFont="1" applyFill="1" applyBorder="1" applyAlignment="1">
      <alignment horizontal="right"/>
    </xf>
    <xf numFmtId="166" fontId="20" fillId="0" borderId="63" xfId="0" applyNumberFormat="1" applyFont="1" applyBorder="1" applyAlignment="1">
      <alignment horizontal="right"/>
    </xf>
    <xf numFmtId="166" fontId="20" fillId="0" borderId="63" xfId="0" applyNumberFormat="1" applyFont="1" applyFill="1" applyBorder="1" applyAlignment="1">
      <alignment horizontal="right"/>
    </xf>
    <xf numFmtId="166" fontId="20" fillId="0" borderId="69" xfId="0" applyNumberFormat="1" applyFont="1" applyFill="1" applyBorder="1" applyAlignment="1">
      <alignment horizontal="right"/>
    </xf>
    <xf numFmtId="166" fontId="20" fillId="5" borderId="60" xfId="0" applyNumberFormat="1" applyFont="1" applyFill="1" applyBorder="1" applyAlignment="1">
      <alignment horizontal="right"/>
    </xf>
    <xf numFmtId="166" fontId="20" fillId="0" borderId="60" xfId="0" applyNumberFormat="1" applyFont="1" applyBorder="1" applyAlignment="1">
      <alignment horizontal="right"/>
    </xf>
    <xf numFmtId="166" fontId="20" fillId="0" borderId="60" xfId="0" applyNumberFormat="1" applyFont="1" applyFill="1" applyBorder="1" applyAlignment="1">
      <alignment horizontal="right"/>
    </xf>
    <xf numFmtId="166" fontId="20" fillId="0" borderId="87" xfId="0" applyNumberFormat="1" applyFont="1" applyFill="1" applyBorder="1" applyAlignment="1">
      <alignment horizontal="right"/>
    </xf>
    <xf numFmtId="166" fontId="21" fillId="0" borderId="0" xfId="0" applyNumberFormat="1" applyFont="1" applyAlignment="1">
      <alignment horizontal="left" wrapText="1"/>
    </xf>
    <xf numFmtId="166" fontId="20" fillId="0" borderId="20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166" fontId="20" fillId="0" borderId="30" xfId="0" applyNumberFormat="1" applyFont="1" applyBorder="1" applyAlignment="1">
      <alignment horizontal="center"/>
    </xf>
    <xf numFmtId="166" fontId="20" fillId="0" borderId="45" xfId="0" applyNumberFormat="1" applyFont="1" applyBorder="1" applyAlignment="1">
      <alignment horizontal="center"/>
    </xf>
    <xf numFmtId="166" fontId="20" fillId="0" borderId="31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66" fontId="20" fillId="5" borderId="63" xfId="0" applyNumberFormat="1" applyFont="1" applyFill="1" applyBorder="1"/>
    <xf numFmtId="166" fontId="20" fillId="0" borderId="69" xfId="0" applyNumberFormat="1" applyFont="1" applyBorder="1"/>
    <xf numFmtId="166" fontId="20" fillId="5" borderId="79" xfId="0" applyNumberFormat="1" applyFont="1" applyFill="1" applyBorder="1"/>
    <xf numFmtId="166" fontId="20" fillId="0" borderId="63" xfId="0" applyNumberFormat="1" applyFont="1" applyBorder="1"/>
    <xf numFmtId="166" fontId="20" fillId="0" borderId="63" xfId="0" applyNumberFormat="1" applyFont="1" applyFill="1" applyBorder="1"/>
    <xf numFmtId="166" fontId="20" fillId="5" borderId="39" xfId="0" applyNumberFormat="1" applyFont="1" applyFill="1" applyBorder="1"/>
    <xf numFmtId="166" fontId="20" fillId="0" borderId="16" xfId="0" applyNumberFormat="1" applyFont="1" applyBorder="1"/>
    <xf numFmtId="166" fontId="20" fillId="0" borderId="39" xfId="0" applyNumberFormat="1" applyFont="1" applyBorder="1" applyAlignment="1">
      <alignment horizontal="right"/>
    </xf>
    <xf numFmtId="166" fontId="20" fillId="5" borderId="39" xfId="0" applyNumberFormat="1" applyFont="1" applyFill="1" applyBorder="1" applyAlignment="1">
      <alignment horizontal="right"/>
    </xf>
    <xf numFmtId="166" fontId="20" fillId="5" borderId="23" xfId="0" applyNumberFormat="1" applyFont="1" applyFill="1" applyBorder="1"/>
    <xf numFmtId="166" fontId="20" fillId="0" borderId="39" xfId="0" applyNumberFormat="1" applyFont="1" applyBorder="1"/>
    <xf numFmtId="166" fontId="20" fillId="0" borderId="39" xfId="0" applyNumberFormat="1" applyFont="1" applyFill="1" applyBorder="1"/>
    <xf numFmtId="166" fontId="20" fillId="5" borderId="64" xfId="0" applyNumberFormat="1" applyFont="1" applyFill="1" applyBorder="1"/>
    <xf numFmtId="166" fontId="20" fillId="0" borderId="2" xfId="0" applyNumberFormat="1" applyFont="1" applyBorder="1"/>
    <xf numFmtId="166" fontId="20" fillId="0" borderId="64" xfId="0" applyNumberFormat="1" applyFont="1" applyBorder="1" applyAlignment="1">
      <alignment horizontal="right"/>
    </xf>
    <xf numFmtId="166" fontId="20" fillId="5" borderId="64" xfId="0" applyNumberFormat="1" applyFont="1" applyFill="1" applyBorder="1" applyAlignment="1">
      <alignment horizontal="right"/>
    </xf>
    <xf numFmtId="166" fontId="20" fillId="5" borderId="40" xfId="0" applyNumberFormat="1" applyFont="1" applyFill="1" applyBorder="1"/>
    <xf numFmtId="166" fontId="20" fillId="5" borderId="81" xfId="0" applyNumberFormat="1" applyFont="1" applyFill="1" applyBorder="1"/>
    <xf numFmtId="166" fontId="20" fillId="0" borderId="64" xfId="0" applyNumberFormat="1" applyFont="1" applyBorder="1"/>
    <xf numFmtId="166" fontId="20" fillId="0" borderId="64" xfId="0" applyNumberFormat="1" applyFont="1" applyFill="1" applyBorder="1"/>
    <xf numFmtId="166" fontId="20" fillId="0" borderId="47" xfId="0" applyNumberFormat="1" applyFont="1" applyBorder="1"/>
    <xf numFmtId="166" fontId="20" fillId="0" borderId="48" xfId="0" applyNumberFormat="1" applyFont="1" applyBorder="1"/>
    <xf numFmtId="0" fontId="20" fillId="0" borderId="47" xfId="0" applyFont="1" applyBorder="1"/>
    <xf numFmtId="166" fontId="20" fillId="0" borderId="49" xfId="0" applyNumberFormat="1" applyFont="1" applyBorder="1" applyAlignment="1">
      <alignment horizontal="right"/>
    </xf>
    <xf numFmtId="166" fontId="20" fillId="0" borderId="43" xfId="0" applyNumberFormat="1" applyFont="1" applyBorder="1" applyAlignment="1">
      <alignment horizontal="right"/>
    </xf>
    <xf numFmtId="166" fontId="20" fillId="0" borderId="49" xfId="0" applyNumberFormat="1" applyFont="1" applyBorder="1"/>
    <xf numFmtId="166" fontId="20" fillId="0" borderId="50" xfId="0" applyNumberFormat="1" applyFont="1" applyBorder="1"/>
    <xf numFmtId="0" fontId="20" fillId="0" borderId="50" xfId="0" applyFont="1" applyBorder="1"/>
    <xf numFmtId="166" fontId="20" fillId="0" borderId="0" xfId="0" applyNumberFormat="1" applyFont="1"/>
    <xf numFmtId="166" fontId="20" fillId="0" borderId="84" xfId="0" applyNumberFormat="1" applyFont="1" applyBorder="1"/>
    <xf numFmtId="166" fontId="20" fillId="0" borderId="70" xfId="0" applyNumberFormat="1" applyFont="1" applyBorder="1"/>
    <xf numFmtId="166" fontId="20" fillId="0" borderId="42" xfId="0" applyNumberFormat="1" applyFont="1" applyBorder="1"/>
    <xf numFmtId="166" fontId="20" fillId="0" borderId="71" xfId="0" applyNumberFormat="1" applyFont="1" applyBorder="1"/>
    <xf numFmtId="166" fontId="20" fillId="0" borderId="79" xfId="0" applyNumberFormat="1" applyFont="1" applyBorder="1"/>
    <xf numFmtId="166" fontId="20" fillId="0" borderId="23" xfId="0" applyNumberFormat="1" applyFont="1" applyBorder="1"/>
    <xf numFmtId="166" fontId="20" fillId="0" borderId="83" xfId="0" applyNumberFormat="1" applyFont="1" applyBorder="1"/>
    <xf numFmtId="166" fontId="20" fillId="0" borderId="17" xfId="0" applyNumberFormat="1" applyFont="1" applyBorder="1"/>
    <xf numFmtId="0" fontId="20" fillId="0" borderId="60" xfId="0" applyFont="1" applyBorder="1" applyAlignment="1">
      <alignment horizontal="center"/>
    </xf>
    <xf numFmtId="0" fontId="20" fillId="0" borderId="88" xfId="0" applyFont="1" applyBorder="1" applyAlignment="1">
      <alignment horizontal="center"/>
    </xf>
    <xf numFmtId="166" fontId="20" fillId="0" borderId="60" xfId="0" applyNumberFormat="1" applyFont="1" applyBorder="1"/>
    <xf numFmtId="166" fontId="20" fillId="0" borderId="53" xfId="0" applyNumberFormat="1" applyFont="1" applyBorder="1" applyAlignment="1">
      <alignment horizontal="center"/>
    </xf>
    <xf numFmtId="166" fontId="20" fillId="0" borderId="54" xfId="0" applyNumberFormat="1" applyFont="1" applyBorder="1" applyAlignment="1">
      <alignment horizontal="center"/>
    </xf>
    <xf numFmtId="166" fontId="20" fillId="0" borderId="53" xfId="0" applyNumberFormat="1" applyFont="1" applyBorder="1" applyAlignment="1">
      <alignment horizontal="right"/>
    </xf>
    <xf numFmtId="0" fontId="20" fillId="0" borderId="63" xfId="0" applyFont="1" applyBorder="1" applyAlignment="1">
      <alignment horizontal="center"/>
    </xf>
    <xf numFmtId="166" fontId="20" fillId="0" borderId="35" xfId="0" applyNumberFormat="1" applyFont="1" applyBorder="1"/>
    <xf numFmtId="166" fontId="20" fillId="0" borderId="36" xfId="0" applyNumberFormat="1" applyFont="1" applyBorder="1"/>
    <xf numFmtId="166" fontId="20" fillId="0" borderId="35" xfId="0" applyNumberFormat="1" applyFont="1" applyBorder="1" applyAlignment="1">
      <alignment horizontal="right"/>
    </xf>
    <xf numFmtId="166" fontId="20" fillId="0" borderId="34" xfId="0" applyNumberFormat="1" applyFont="1" applyBorder="1"/>
    <xf numFmtId="166" fontId="20" fillId="0" borderId="62" xfId="0" applyNumberFormat="1" applyFont="1" applyBorder="1"/>
    <xf numFmtId="166" fontId="20" fillId="0" borderId="34" xfId="0" applyNumberFormat="1" applyFont="1" applyBorder="1" applyAlignment="1">
      <alignment horizontal="right"/>
    </xf>
    <xf numFmtId="166" fontId="20" fillId="0" borderId="61" xfId="0" applyNumberFormat="1" applyFont="1" applyBorder="1"/>
    <xf numFmtId="166" fontId="20" fillId="0" borderId="43" xfId="0" applyNumberFormat="1" applyFont="1" applyBorder="1"/>
    <xf numFmtId="166" fontId="20" fillId="0" borderId="37" xfId="0" applyNumberFormat="1" applyFont="1" applyBorder="1"/>
    <xf numFmtId="166" fontId="20" fillId="0" borderId="38" xfId="0" applyNumberFormat="1" applyFont="1" applyBorder="1"/>
    <xf numFmtId="166" fontId="20" fillId="0" borderId="37" xfId="0" applyNumberFormat="1" applyFont="1" applyBorder="1" applyAlignment="1">
      <alignment horizontal="right"/>
    </xf>
    <xf numFmtId="166" fontId="20" fillId="0" borderId="40" xfId="0" applyNumberFormat="1" applyFont="1" applyBorder="1"/>
    <xf numFmtId="166" fontId="20" fillId="0" borderId="53" xfId="0" applyNumberFormat="1" applyFont="1" applyBorder="1"/>
    <xf numFmtId="166" fontId="20" fillId="0" borderId="54" xfId="0" applyNumberFormat="1" applyFont="1" applyBorder="1"/>
    <xf numFmtId="166" fontId="20" fillId="0" borderId="78" xfId="0" applyNumberFormat="1" applyFont="1" applyBorder="1" applyAlignment="1">
      <alignment horizontal="right"/>
    </xf>
    <xf numFmtId="166" fontId="20" fillId="0" borderId="51" xfId="0" applyNumberFormat="1" applyFont="1" applyBorder="1"/>
    <xf numFmtId="0" fontId="20" fillId="0" borderId="60" xfId="0" applyFont="1" applyBorder="1"/>
    <xf numFmtId="166" fontId="20" fillId="0" borderId="33" xfId="0" applyNumberFormat="1" applyFont="1" applyBorder="1"/>
    <xf numFmtId="0" fontId="20" fillId="0" borderId="33" xfId="0" applyFont="1" applyBorder="1"/>
    <xf numFmtId="166" fontId="20" fillId="0" borderId="49" xfId="0" applyNumberFormat="1" applyFont="1" applyFill="1" applyBorder="1"/>
    <xf numFmtId="166" fontId="20" fillId="0" borderId="40" xfId="0" applyNumberFormat="1" applyFont="1" applyBorder="1" applyAlignment="1">
      <alignment horizontal="right"/>
    </xf>
    <xf numFmtId="166" fontId="20" fillId="0" borderId="38" xfId="0" applyNumberFormat="1" applyFont="1" applyBorder="1" applyAlignment="1">
      <alignment horizontal="right"/>
    </xf>
    <xf numFmtId="166" fontId="20" fillId="0" borderId="47" xfId="0" applyNumberFormat="1" applyFont="1" applyBorder="1" applyAlignment="1">
      <alignment horizontal="right"/>
    </xf>
    <xf numFmtId="166" fontId="20" fillId="0" borderId="70" xfId="0" applyNumberFormat="1" applyFont="1" applyBorder="1" applyAlignment="1">
      <alignment horizontal="right"/>
    </xf>
    <xf numFmtId="166" fontId="20" fillId="0" borderId="42" xfId="0" applyNumberFormat="1" applyFont="1" applyBorder="1" applyAlignment="1">
      <alignment horizontal="right"/>
    </xf>
    <xf numFmtId="166" fontId="20" fillId="0" borderId="50" xfId="0" applyNumberFormat="1" applyFont="1" applyBorder="1" applyAlignment="1">
      <alignment horizontal="right"/>
    </xf>
    <xf numFmtId="166" fontId="20" fillId="0" borderId="0" xfId="0" applyNumberFormat="1" applyFont="1" applyBorder="1" applyAlignment="1">
      <alignment horizontal="right"/>
    </xf>
    <xf numFmtId="165" fontId="7" fillId="0" borderId="20" xfId="0" applyNumberFormat="1" applyFont="1" applyBorder="1"/>
    <xf numFmtId="0" fontId="20" fillId="0" borderId="46" xfId="0" applyFont="1" applyBorder="1" applyAlignment="1">
      <alignment wrapText="1"/>
    </xf>
    <xf numFmtId="0" fontId="22" fillId="0" borderId="46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19" fillId="0" borderId="74" xfId="0" applyFont="1" applyBorder="1" applyAlignment="1">
      <alignment wrapText="1"/>
    </xf>
    <xf numFmtId="0" fontId="17" fillId="0" borderId="76" xfId="0" applyFont="1" applyFill="1" applyBorder="1" applyAlignment="1">
      <alignment wrapText="1"/>
    </xf>
    <xf numFmtId="166" fontId="20" fillId="0" borderId="33" xfId="0" applyNumberFormat="1" applyFont="1" applyBorder="1" applyAlignment="1">
      <alignment horizontal="center"/>
    </xf>
    <xf numFmtId="165" fontId="20" fillId="0" borderId="21" xfId="0" applyNumberFormat="1" applyFont="1" applyBorder="1" applyAlignment="1">
      <alignment horizontal="center"/>
    </xf>
    <xf numFmtId="165" fontId="20" fillId="0" borderId="89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8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65" fontId="20" fillId="0" borderId="48" xfId="0" applyNumberFormat="1" applyFont="1" applyBorder="1" applyAlignment="1">
      <alignment horizontal="right"/>
    </xf>
    <xf numFmtId="0" fontId="7" fillId="0" borderId="0" xfId="0" applyFont="1"/>
    <xf numFmtId="0" fontId="8" fillId="0" borderId="4" xfId="0" applyFont="1" applyBorder="1"/>
    <xf numFmtId="0" fontId="8" fillId="0" borderId="6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90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6" fontId="7" fillId="5" borderId="20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166" fontId="0" fillId="0" borderId="0" xfId="0" applyNumberFormat="1"/>
    <xf numFmtId="166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5" borderId="27" xfId="0" applyFont="1" applyFill="1" applyBorder="1" applyAlignment="1">
      <alignment horizontal="center" wrapText="1"/>
    </xf>
    <xf numFmtId="0" fontId="7" fillId="5" borderId="24" xfId="0" applyFont="1" applyFill="1" applyBorder="1" applyAlignment="1">
      <alignment horizontal="center" wrapText="1"/>
    </xf>
    <xf numFmtId="0" fontId="7" fillId="0" borderId="22" xfId="0" applyFont="1" applyFill="1" applyBorder="1"/>
    <xf numFmtId="0" fontId="7" fillId="0" borderId="25" xfId="0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166" fontId="7" fillId="0" borderId="23" xfId="0" applyNumberFormat="1" applyFont="1" applyBorder="1" applyAlignment="1">
      <alignment horizontal="right"/>
    </xf>
    <xf numFmtId="0" fontId="7" fillId="5" borderId="23" xfId="0" applyFont="1" applyFill="1" applyBorder="1"/>
    <xf numFmtId="166" fontId="7" fillId="0" borderId="23" xfId="0" applyNumberFormat="1" applyFont="1" applyBorder="1"/>
    <xf numFmtId="0" fontId="8" fillId="0" borderId="1" xfId="0" applyFont="1" applyBorder="1" applyAlignment="1">
      <alignment wrapText="1"/>
    </xf>
    <xf numFmtId="0" fontId="8" fillId="0" borderId="24" xfId="0" applyFont="1" applyBorder="1"/>
    <xf numFmtId="0" fontId="8" fillId="0" borderId="24" xfId="0" applyFont="1" applyBorder="1" applyAlignment="1">
      <alignment wrapText="1"/>
    </xf>
    <xf numFmtId="0" fontId="7" fillId="0" borderId="0" xfId="0" applyFont="1"/>
    <xf numFmtId="0" fontId="7" fillId="0" borderId="0" xfId="0" applyFont="1"/>
    <xf numFmtId="0" fontId="7" fillId="0" borderId="0" xfId="0" applyFont="1"/>
    <xf numFmtId="38" fontId="7" fillId="0" borderId="24" xfId="0" applyNumberFormat="1" applyFont="1" applyFill="1" applyBorder="1" applyAlignment="1">
      <alignment horizontal="right"/>
    </xf>
    <xf numFmtId="38" fontId="7" fillId="5" borderId="24" xfId="0" applyNumberFormat="1" applyFont="1" applyFill="1" applyBorder="1"/>
    <xf numFmtId="0" fontId="6" fillId="0" borderId="0" xfId="0" applyFont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8" fillId="0" borderId="6" xfId="0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20" fillId="0" borderId="0" xfId="0" applyFont="1" applyBorder="1" applyAlignment="1">
      <alignment horizontal="center"/>
    </xf>
    <xf numFmtId="0" fontId="6" fillId="0" borderId="31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32" xfId="0" applyFont="1" applyBorder="1" applyAlignment="1">
      <alignment horizontal="left" wrapText="1"/>
    </xf>
    <xf numFmtId="0" fontId="20" fillId="5" borderId="31" xfId="0" applyFont="1" applyFill="1" applyBorder="1" applyAlignment="1">
      <alignment horizontal="center"/>
    </xf>
    <xf numFmtId="0" fontId="20" fillId="5" borderId="30" xfId="0" applyFont="1" applyFill="1" applyBorder="1" applyAlignment="1">
      <alignment horizontal="center"/>
    </xf>
    <xf numFmtId="0" fontId="20" fillId="5" borderId="32" xfId="0" applyFont="1" applyFill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59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8" fillId="0" borderId="6" xfId="0" applyFont="1" applyBorder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28575</xdr:rowOff>
    </xdr:from>
    <xdr:to>
      <xdr:col>0</xdr:col>
      <xdr:colOff>352425</xdr:colOff>
      <xdr:row>6</xdr:row>
      <xdr:rowOff>0</xdr:rowOff>
    </xdr:to>
    <xdr:cxnSp macro="">
      <xdr:nvCxnSpPr>
        <xdr:cNvPr id="2" name="Straight Arrow Connector 1"/>
        <xdr:cNvCxnSpPr/>
      </xdr:nvCxnSpPr>
      <xdr:spPr>
        <a:xfrm>
          <a:off x="352425" y="996315"/>
          <a:ext cx="0" cy="14668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8"/>
  <sheetViews>
    <sheetView view="pageBreakPreview" zoomScaleNormal="70" zoomScaleSheetLayoutView="100" workbookViewId="0">
      <pane xSplit="1" ySplit="2" topLeftCell="B93" activePane="bottomRight" state="frozen"/>
      <selection activeCell="L188" sqref="L188"/>
      <selection pane="topRight" activeCell="L188" sqref="L188"/>
      <selection pane="bottomLeft" activeCell="L188" sqref="L188"/>
      <selection pane="bottomRight" activeCell="A97" sqref="A97"/>
    </sheetView>
  </sheetViews>
  <sheetFormatPr defaultColWidth="8.85546875" defaultRowHeight="12.75" x14ac:dyDescent="0.2"/>
  <cols>
    <col min="1" max="1" width="35.7109375" style="472" customWidth="1"/>
    <col min="2" max="2" width="25.42578125" style="472" customWidth="1"/>
    <col min="3" max="16384" width="8.85546875" style="472"/>
  </cols>
  <sheetData>
    <row r="1" spans="1:3" x14ac:dyDescent="0.2">
      <c r="A1" s="499" t="s">
        <v>640</v>
      </c>
      <c r="B1" s="499"/>
    </row>
    <row r="2" spans="1:3" x14ac:dyDescent="0.2">
      <c r="B2" s="152" t="s">
        <v>625</v>
      </c>
    </row>
    <row r="3" spans="1:3" x14ac:dyDescent="0.2">
      <c r="A3" s="500" t="s">
        <v>639</v>
      </c>
      <c r="B3" s="500"/>
      <c r="C3" s="471"/>
    </row>
    <row r="4" spans="1:3" x14ac:dyDescent="0.2">
      <c r="A4" s="485" t="s">
        <v>11</v>
      </c>
      <c r="B4" s="486" t="str">
        <f>'2 Basic Budget Parameters'!B4</f>
        <v>Basic</v>
      </c>
    </row>
    <row r="5" spans="1:3" x14ac:dyDescent="0.2">
      <c r="A5" s="181" t="s">
        <v>12</v>
      </c>
      <c r="B5" s="486" t="str">
        <f>'2 Basic Budget Parameters'!B5</f>
        <v>None</v>
      </c>
    </row>
    <row r="6" spans="1:3" x14ac:dyDescent="0.2">
      <c r="A6" s="181" t="s">
        <v>13</v>
      </c>
      <c r="B6" s="486">
        <f>ROUND('2 Basic Budget Parameters'!B6,1)</f>
        <v>1.2</v>
      </c>
    </row>
    <row r="7" spans="1:3" x14ac:dyDescent="0.2">
      <c r="A7" s="181" t="s">
        <v>14</v>
      </c>
      <c r="B7" s="486">
        <f>'2 Basic Budget Parameters'!B7</f>
        <v>438</v>
      </c>
    </row>
    <row r="8" spans="1:3" x14ac:dyDescent="0.2">
      <c r="A8" s="181"/>
      <c r="B8" s="486"/>
    </row>
    <row r="9" spans="1:3" x14ac:dyDescent="0.2">
      <c r="A9" s="181" t="s">
        <v>15</v>
      </c>
      <c r="B9" s="486">
        <f>'2 Basic Budget Parameters'!B9</f>
        <v>0.75</v>
      </c>
    </row>
    <row r="10" spans="1:3" ht="12.6" customHeight="1" x14ac:dyDescent="0.2">
      <c r="A10" s="181"/>
      <c r="B10" s="486"/>
    </row>
    <row r="11" spans="1:3" x14ac:dyDescent="0.2">
      <c r="A11" s="181" t="s">
        <v>16</v>
      </c>
      <c r="B11" s="487">
        <f>'2 Basic Budget Parameters'!B19</f>
        <v>329</v>
      </c>
    </row>
    <row r="12" spans="1:3" x14ac:dyDescent="0.2">
      <c r="A12" s="181"/>
      <c r="B12" s="486"/>
    </row>
    <row r="13" spans="1:3" x14ac:dyDescent="0.2">
      <c r="A13" s="181" t="s">
        <v>17</v>
      </c>
      <c r="B13" s="487">
        <f>'2 Basic Budget Parameters'!B31</f>
        <v>15314</v>
      </c>
    </row>
    <row r="14" spans="1:3" x14ac:dyDescent="0.2">
      <c r="A14" s="181" t="s">
        <v>382</v>
      </c>
      <c r="B14" s="487">
        <f>'2 Basic Budget Parameters'!B32</f>
        <v>35</v>
      </c>
    </row>
    <row r="15" spans="1:3" x14ac:dyDescent="0.2">
      <c r="A15" s="181" t="s">
        <v>123</v>
      </c>
      <c r="B15" s="487">
        <f>'2 Basic Budget Parameters'!B33</f>
        <v>0.46</v>
      </c>
    </row>
    <row r="16" spans="1:3" x14ac:dyDescent="0.2">
      <c r="A16" s="181" t="s">
        <v>18</v>
      </c>
      <c r="B16" s="487">
        <f>'2 Basic Budget Parameters'!B34</f>
        <v>7044</v>
      </c>
    </row>
    <row r="17" spans="1:3" x14ac:dyDescent="0.2">
      <c r="A17" s="125"/>
      <c r="B17" s="135"/>
    </row>
    <row r="18" spans="1:3" x14ac:dyDescent="0.2">
      <c r="A18" s="125"/>
      <c r="B18" s="135"/>
      <c r="C18" s="29"/>
    </row>
    <row r="19" spans="1:3" ht="12.6" customHeight="1" x14ac:dyDescent="0.2">
      <c r="A19" s="139"/>
      <c r="B19" s="135"/>
    </row>
    <row r="20" spans="1:3" ht="12.6" customHeight="1" x14ac:dyDescent="0.2">
      <c r="A20" s="139"/>
      <c r="B20" s="135"/>
    </row>
    <row r="21" spans="1:3" ht="12.6" customHeight="1" x14ac:dyDescent="0.2">
      <c r="A21" s="139"/>
      <c r="B21" s="135"/>
    </row>
    <row r="22" spans="1:3" ht="12.6" customHeight="1" x14ac:dyDescent="0.2">
      <c r="A22" s="139"/>
      <c r="B22" s="135"/>
    </row>
    <row r="23" spans="1:3" ht="12.6" customHeight="1" x14ac:dyDescent="0.2">
      <c r="A23" s="139"/>
      <c r="B23" s="135"/>
    </row>
    <row r="24" spans="1:3" ht="12.6" customHeight="1" x14ac:dyDescent="0.2">
      <c r="A24" s="139"/>
      <c r="B24" s="135"/>
    </row>
    <row r="25" spans="1:3" ht="12.6" customHeight="1" x14ac:dyDescent="0.2">
      <c r="A25" s="125"/>
      <c r="B25" s="135"/>
    </row>
    <row r="26" spans="1:3" ht="12.6" customHeight="1" x14ac:dyDescent="0.2">
      <c r="A26" s="125"/>
      <c r="B26" s="135"/>
    </row>
    <row r="27" spans="1:3" ht="12.6" customHeight="1" x14ac:dyDescent="0.2">
      <c r="A27" s="39"/>
      <c r="B27" s="142"/>
    </row>
    <row r="28" spans="1:3" ht="12.6" customHeight="1" x14ac:dyDescent="0.2">
      <c r="A28" s="501" t="s">
        <v>632</v>
      </c>
      <c r="B28" s="501"/>
    </row>
    <row r="29" spans="1:3" x14ac:dyDescent="0.2">
      <c r="A29" s="125" t="s">
        <v>81</v>
      </c>
      <c r="B29" s="126">
        <f>'2 Basic Budget Parameters'!B60</f>
        <v>0</v>
      </c>
    </row>
    <row r="30" spans="1:3" x14ac:dyDescent="0.2">
      <c r="A30" s="125" t="s">
        <v>82</v>
      </c>
      <c r="B30" s="126">
        <f>'2 Basic Budget Parameters'!B61</f>
        <v>0</v>
      </c>
    </row>
    <row r="31" spans="1:3" x14ac:dyDescent="0.2">
      <c r="A31" s="125" t="s">
        <v>84</v>
      </c>
      <c r="B31" s="126">
        <f>'2 Basic Budget Parameters'!B62</f>
        <v>0</v>
      </c>
    </row>
    <row r="32" spans="1:3" x14ac:dyDescent="0.2">
      <c r="A32" s="125" t="s">
        <v>85</v>
      </c>
      <c r="B32" s="126">
        <f>'2 Basic Budget Parameters'!B63</f>
        <v>0</v>
      </c>
    </row>
    <row r="33" spans="1:2" x14ac:dyDescent="0.2">
      <c r="A33" s="125" t="s">
        <v>432</v>
      </c>
      <c r="B33" s="126">
        <f>ROUND('2 Basic Budget Parameters'!B64*'2 Basic Budget Parameters'!B65,0)</f>
        <v>0</v>
      </c>
    </row>
    <row r="34" spans="1:2" x14ac:dyDescent="0.2">
      <c r="A34" s="125" t="s">
        <v>33</v>
      </c>
      <c r="B34" s="126">
        <f>ROUND('2 Basic Budget Parameters'!B66*'2 Basic Budget Parameters'!B67,0)</f>
        <v>0</v>
      </c>
    </row>
    <row r="35" spans="1:2" x14ac:dyDescent="0.2">
      <c r="A35" s="125" t="s">
        <v>35</v>
      </c>
      <c r="B35" s="126">
        <f>ROUND('2 Basic Budget Parameters'!B68*'2 Basic Budget Parameters'!B69,0)</f>
        <v>0</v>
      </c>
    </row>
    <row r="36" spans="1:2" x14ac:dyDescent="0.2">
      <c r="A36" s="125" t="s">
        <v>37</v>
      </c>
      <c r="B36" s="126">
        <f>ROUND('2 Basic Budget Parameters'!B70*'2 Basic Budget Parameters'!B71,0)</f>
        <v>0</v>
      </c>
    </row>
    <row r="37" spans="1:2" x14ac:dyDescent="0.2">
      <c r="A37" s="125" t="s">
        <v>42</v>
      </c>
      <c r="B37" s="126">
        <f>ROUND('2 Basic Budget Parameters'!B72*'2 Basic Budget Parameters'!B73,0)</f>
        <v>0</v>
      </c>
    </row>
    <row r="38" spans="1:2" x14ac:dyDescent="0.2">
      <c r="A38" s="125" t="s">
        <v>664</v>
      </c>
      <c r="B38" s="126">
        <f>ROUND('2 Basic Budget Parameters'!B74*'2 Basic Budget Parameters'!B75,0)</f>
        <v>0</v>
      </c>
    </row>
    <row r="39" spans="1:2" x14ac:dyDescent="0.2">
      <c r="A39" s="125"/>
      <c r="B39" s="126"/>
    </row>
    <row r="40" spans="1:2" x14ac:dyDescent="0.2">
      <c r="A40" s="125" t="s">
        <v>44</v>
      </c>
      <c r="B40" s="126">
        <f>'2 Basic Budget Parameters'!B78</f>
        <v>0</v>
      </c>
    </row>
    <row r="41" spans="1:2" x14ac:dyDescent="0.2">
      <c r="A41" s="125" t="s">
        <v>45</v>
      </c>
      <c r="B41" s="126">
        <f>ROUND('2 Basic Budget Parameters'!B79*'2 Basic Budget Parameters'!B80,0)</f>
        <v>0</v>
      </c>
    </row>
    <row r="42" spans="1:2" x14ac:dyDescent="0.2">
      <c r="A42" s="127" t="s">
        <v>434</v>
      </c>
      <c r="B42" s="126">
        <f>ROUND('2 Basic Budget Parameters'!B81*'2 Basic Budget Parameters'!B82,0)</f>
        <v>0</v>
      </c>
    </row>
    <row r="43" spans="1:2" x14ac:dyDescent="0.2">
      <c r="A43" s="154">
        <f>'2 Basic Budget Parameters'!A86</f>
        <v>0</v>
      </c>
      <c r="B43" s="488">
        <f>'2 Basic Budget Parameters'!B86</f>
        <v>0</v>
      </c>
    </row>
    <row r="44" spans="1:2" x14ac:dyDescent="0.2">
      <c r="A44" s="154">
        <f>'2 Basic Budget Parameters'!A87</f>
        <v>0</v>
      </c>
      <c r="B44" s="488">
        <f>'2 Basic Budget Parameters'!B87</f>
        <v>0</v>
      </c>
    </row>
    <row r="45" spans="1:2" x14ac:dyDescent="0.2">
      <c r="A45" s="154">
        <f>'2 Basic Budget Parameters'!A88</f>
        <v>0</v>
      </c>
      <c r="B45" s="488">
        <f>'2 Basic Budget Parameters'!B88</f>
        <v>0</v>
      </c>
    </row>
    <row r="46" spans="1:2" x14ac:dyDescent="0.2">
      <c r="A46" s="154">
        <f>'2 Basic Budget Parameters'!A89</f>
        <v>0</v>
      </c>
      <c r="B46" s="488">
        <f>'2 Basic Budget Parameters'!B89</f>
        <v>0</v>
      </c>
    </row>
    <row r="47" spans="1:2" x14ac:dyDescent="0.2">
      <c r="A47" s="154">
        <f>'2 Basic Budget Parameters'!A90</f>
        <v>0</v>
      </c>
      <c r="B47" s="488">
        <f>'2 Basic Budget Parameters'!B90</f>
        <v>0</v>
      </c>
    </row>
    <row r="48" spans="1:2" x14ac:dyDescent="0.2">
      <c r="A48" s="154">
        <f>'2 Basic Budget Parameters'!A91</f>
        <v>0</v>
      </c>
      <c r="B48" s="488">
        <f>'2 Basic Budget Parameters'!B91</f>
        <v>0</v>
      </c>
    </row>
    <row r="49" spans="1:2" x14ac:dyDescent="0.2">
      <c r="A49" s="154">
        <f>'2 Basic Budget Parameters'!A92</f>
        <v>0</v>
      </c>
      <c r="B49" s="488">
        <f>'2 Basic Budget Parameters'!B92</f>
        <v>0</v>
      </c>
    </row>
    <row r="50" spans="1:2" x14ac:dyDescent="0.2">
      <c r="A50" s="154">
        <f>'2 Basic Budget Parameters'!A93</f>
        <v>0</v>
      </c>
      <c r="B50" s="488">
        <f>'2 Basic Budget Parameters'!B93</f>
        <v>0</v>
      </c>
    </row>
    <row r="51" spans="1:2" x14ac:dyDescent="0.2">
      <c r="A51" s="125"/>
      <c r="B51" s="128"/>
    </row>
    <row r="52" spans="1:2" x14ac:dyDescent="0.2">
      <c r="A52" s="125"/>
      <c r="B52" s="128"/>
    </row>
    <row r="53" spans="1:2" x14ac:dyDescent="0.2">
      <c r="A53" s="38"/>
      <c r="B53" s="143"/>
    </row>
    <row r="54" spans="1:2" x14ac:dyDescent="0.2">
      <c r="A54" s="39" t="s">
        <v>86</v>
      </c>
      <c r="B54" s="144">
        <f>ROUND(SUM(B29:B52),0)</f>
        <v>0</v>
      </c>
    </row>
    <row r="55" spans="1:2" ht="13.5" thickBot="1" x14ac:dyDescent="0.25">
      <c r="A55" s="41"/>
      <c r="B55" s="145"/>
    </row>
    <row r="56" spans="1:2" ht="13.5" thickTop="1" x14ac:dyDescent="0.2">
      <c r="A56" s="39"/>
      <c r="B56" s="39"/>
    </row>
    <row r="57" spans="1:2" ht="12.6" customHeight="1" x14ac:dyDescent="0.2">
      <c r="A57" s="499" t="s">
        <v>563</v>
      </c>
      <c r="B57" s="499"/>
    </row>
    <row r="58" spans="1:2" ht="13.5" customHeight="1" x14ac:dyDescent="0.2">
      <c r="A58" s="125" t="s">
        <v>81</v>
      </c>
      <c r="B58" s="126">
        <f>IFERROR(ROUND('2 Basic Budget Parameters'!B106,0),"0")</f>
        <v>0</v>
      </c>
    </row>
    <row r="59" spans="1:2" x14ac:dyDescent="0.2">
      <c r="A59" s="125" t="s">
        <v>82</v>
      </c>
      <c r="B59" s="126">
        <f>IFERROR(ROUND('2 Basic Budget Parameters'!B114,0),"0")</f>
        <v>0</v>
      </c>
    </row>
    <row r="60" spans="1:2" x14ac:dyDescent="0.2">
      <c r="A60" s="125" t="s">
        <v>84</v>
      </c>
      <c r="B60" s="126">
        <f>IFERROR(ROUND(B31/'2 Basic Budget Parameters'!B115,0),"0")</f>
        <v>0</v>
      </c>
    </row>
    <row r="61" spans="1:2" x14ac:dyDescent="0.2">
      <c r="A61" s="125" t="s">
        <v>85</v>
      </c>
      <c r="B61" s="150" t="str">
        <f>IFERROR(ROUND(B32/'2 Basic Budget Parameters'!B116,0),"$0")</f>
        <v>$0</v>
      </c>
    </row>
    <row r="62" spans="1:2" x14ac:dyDescent="0.2">
      <c r="A62" s="125" t="s">
        <v>432</v>
      </c>
      <c r="B62" s="126">
        <f>IFERROR(ROUND(B33/'2 Basic Budget Parameters'!B117,0),"0")</f>
        <v>0</v>
      </c>
    </row>
    <row r="63" spans="1:2" x14ac:dyDescent="0.2">
      <c r="A63" s="125" t="s">
        <v>33</v>
      </c>
      <c r="B63" s="148" t="str">
        <f>IFERROR(ROUND('1 Basic Budget'!B34/'2 Basic Budget Parameters'!B119,0),"$0")</f>
        <v>$0</v>
      </c>
    </row>
    <row r="64" spans="1:2" x14ac:dyDescent="0.2">
      <c r="A64" s="125" t="s">
        <v>35</v>
      </c>
      <c r="B64" s="148" t="str">
        <f>IFERROR(ROUND(B35/'2 Basic Budget Parameters'!B120,0),"$0")</f>
        <v>$0</v>
      </c>
    </row>
    <row r="65" spans="1:2" x14ac:dyDescent="0.2">
      <c r="A65" s="125" t="s">
        <v>37</v>
      </c>
      <c r="B65" s="148" t="str">
        <f>IFERROR(ROUND(B36/'2 Basic Budget Parameters'!B121,0),"$0")</f>
        <v>$0</v>
      </c>
    </row>
    <row r="66" spans="1:2" x14ac:dyDescent="0.2">
      <c r="A66" s="125" t="s">
        <v>42</v>
      </c>
      <c r="B66" s="150" t="str">
        <f>IFERROR(ROUND(B37/'2 Basic Budget Parameters'!B122,0),"$0")</f>
        <v>$0</v>
      </c>
    </row>
    <row r="67" spans="1:2" x14ac:dyDescent="0.2">
      <c r="A67" s="125" t="s">
        <v>664</v>
      </c>
      <c r="B67" s="150" t="str">
        <f>IFERROR(ROUND(B38/'2 Basic Budget Parameters'!B123,0),"$0")</f>
        <v>$0</v>
      </c>
    </row>
    <row r="68" spans="1:2" x14ac:dyDescent="0.2">
      <c r="A68" s="125"/>
      <c r="B68" s="150"/>
    </row>
    <row r="69" spans="1:2" x14ac:dyDescent="0.2">
      <c r="A69" s="125" t="s">
        <v>44</v>
      </c>
      <c r="B69" s="150" t="str">
        <f>IFERROR(ROUND(B40/'2 Basic Budget Parameters'!B127,0),"$0")</f>
        <v>$0</v>
      </c>
    </row>
    <row r="70" spans="1:2" x14ac:dyDescent="0.2">
      <c r="A70" s="125" t="s">
        <v>45</v>
      </c>
      <c r="B70" s="126">
        <f>IFERROR(ROUND(B41/'2 Basic Budget Parameters'!B128,0),"0")</f>
        <v>0</v>
      </c>
    </row>
    <row r="71" spans="1:2" x14ac:dyDescent="0.2">
      <c r="A71" s="127" t="s">
        <v>434</v>
      </c>
      <c r="B71" s="126">
        <f>IFERROR(ROUND(B42/'2 Basic Budget Parameters'!B129,0),"0")</f>
        <v>0</v>
      </c>
    </row>
    <row r="72" spans="1:2" x14ac:dyDescent="0.2">
      <c r="A72" s="154">
        <f>'2 Basic Budget Parameters'!A130</f>
        <v>0</v>
      </c>
      <c r="B72" s="490">
        <f>'2 Basic Budget Parameters'!B130</f>
        <v>0</v>
      </c>
    </row>
    <row r="73" spans="1:2" x14ac:dyDescent="0.2">
      <c r="A73" s="154">
        <f>'2 Basic Budget Parameters'!A131</f>
        <v>0</v>
      </c>
      <c r="B73" s="490">
        <f>'2 Basic Budget Parameters'!B131</f>
        <v>0</v>
      </c>
    </row>
    <row r="74" spans="1:2" x14ac:dyDescent="0.2">
      <c r="A74" s="154">
        <f>'2 Basic Budget Parameters'!A132</f>
        <v>0</v>
      </c>
      <c r="B74" s="490">
        <f>'2 Basic Budget Parameters'!B132</f>
        <v>0</v>
      </c>
    </row>
    <row r="75" spans="1:2" x14ac:dyDescent="0.2">
      <c r="A75" s="154">
        <f>'2 Basic Budget Parameters'!A133</f>
        <v>0</v>
      </c>
      <c r="B75" s="490">
        <f>'2 Basic Budget Parameters'!B133</f>
        <v>0</v>
      </c>
    </row>
    <row r="76" spans="1:2" x14ac:dyDescent="0.2">
      <c r="A76" s="154">
        <f>'2 Basic Budget Parameters'!A134</f>
        <v>0</v>
      </c>
      <c r="B76" s="490">
        <f>'2 Basic Budget Parameters'!B134</f>
        <v>0</v>
      </c>
    </row>
    <row r="77" spans="1:2" x14ac:dyDescent="0.2">
      <c r="A77" s="154">
        <f>'2 Basic Budget Parameters'!A135</f>
        <v>0</v>
      </c>
      <c r="B77" s="490">
        <f>'2 Basic Budget Parameters'!B135</f>
        <v>0</v>
      </c>
    </row>
    <row r="78" spans="1:2" x14ac:dyDescent="0.2">
      <c r="A78" s="154">
        <f>'2 Basic Budget Parameters'!A136</f>
        <v>0</v>
      </c>
      <c r="B78" s="490">
        <f>'2 Basic Budget Parameters'!B136</f>
        <v>0</v>
      </c>
    </row>
    <row r="79" spans="1:2" x14ac:dyDescent="0.2">
      <c r="A79" s="154">
        <f>'2 Basic Budget Parameters'!A137</f>
        <v>0</v>
      </c>
      <c r="B79" s="490">
        <f>'2 Basic Budget Parameters'!B137</f>
        <v>0</v>
      </c>
    </row>
    <row r="80" spans="1:2" x14ac:dyDescent="0.2">
      <c r="A80" s="125"/>
      <c r="B80" s="126"/>
    </row>
    <row r="81" spans="1:2" x14ac:dyDescent="0.2">
      <c r="A81" s="125"/>
      <c r="B81" s="126"/>
    </row>
    <row r="82" spans="1:2" x14ac:dyDescent="0.2">
      <c r="A82" s="38"/>
      <c r="B82" s="143"/>
    </row>
    <row r="83" spans="1:2" x14ac:dyDescent="0.2">
      <c r="A83" s="39" t="s">
        <v>424</v>
      </c>
      <c r="B83" s="144">
        <f>ROUND(SUM(B58:B81),0)</f>
        <v>0</v>
      </c>
    </row>
    <row r="84" spans="1:2" ht="13.5" thickBot="1" x14ac:dyDescent="0.25">
      <c r="A84" s="41"/>
      <c r="B84" s="145"/>
    </row>
    <row r="85" spans="1:2" ht="13.5" thickTop="1" x14ac:dyDescent="0.2"/>
    <row r="86" spans="1:2" x14ac:dyDescent="0.2">
      <c r="A86" s="123" t="s">
        <v>638</v>
      </c>
    </row>
    <row r="87" spans="1:2" x14ac:dyDescent="0.2">
      <c r="A87" s="154" t="s">
        <v>153</v>
      </c>
      <c r="B87" s="126"/>
    </row>
    <row r="88" spans="1:2" x14ac:dyDescent="0.2">
      <c r="A88" s="139" t="s">
        <v>155</v>
      </c>
      <c r="B88" s="126">
        <f>IFERROR(ROUND('2 Basic Budget Parameters'!B233+'2 Basic Budget Parameters'!B239+'2 Basic Budget Parameters'!B245+'2 Basic Budget Parameters'!B254,0),"$0")</f>
        <v>0</v>
      </c>
    </row>
    <row r="89" spans="1:2" x14ac:dyDescent="0.2">
      <c r="A89" s="155" t="s">
        <v>154</v>
      </c>
      <c r="B89" s="126">
        <f>ROUND('2 Basic Budget Parameters'!B236+'2 Basic Budget Parameters'!B242+'2 Basic Budget Parameters'!B248+'2 Basic Budget Parameters'!B257,0)</f>
        <v>105850</v>
      </c>
    </row>
    <row r="90" spans="1:2" x14ac:dyDescent="0.2">
      <c r="A90" s="155" t="s">
        <v>156</v>
      </c>
      <c r="B90" s="126">
        <f>ROUND('2 Basic Budget Parameters'!B237+'2 Basic Budget Parameters'!B243+'2 Basic Budget Parameters'!B249+'2 Basic Budget Parameters'!B258,0)</f>
        <v>5024</v>
      </c>
    </row>
    <row r="91" spans="1:2" x14ac:dyDescent="0.2">
      <c r="A91" s="139" t="s">
        <v>157</v>
      </c>
      <c r="B91" s="126">
        <f>'2 Basic Budget Parameters'!B263</f>
        <v>15877.5</v>
      </c>
    </row>
    <row r="92" spans="1:2" x14ac:dyDescent="0.2">
      <c r="A92" s="125" t="s">
        <v>158</v>
      </c>
      <c r="B92" s="126">
        <f>ROUND(SUM(B88:B91),0)</f>
        <v>126752</v>
      </c>
    </row>
    <row r="93" spans="1:2" x14ac:dyDescent="0.2">
      <c r="A93" s="156" t="s">
        <v>134</v>
      </c>
      <c r="B93" s="126">
        <f>'2 Basic Budget Parameters'!B286</f>
        <v>4025</v>
      </c>
    </row>
    <row r="94" spans="1:2" x14ac:dyDescent="0.2">
      <c r="A94" s="156" t="s">
        <v>508</v>
      </c>
      <c r="B94" s="126">
        <f>'2 Basic Budget Parameters'!B306</f>
        <v>13160</v>
      </c>
    </row>
    <row r="95" spans="1:2" ht="13.5" customHeight="1" x14ac:dyDescent="0.2">
      <c r="A95" s="127" t="s">
        <v>171</v>
      </c>
      <c r="B95" s="126">
        <f>'2 Basic Budget Parameters'!B313</f>
        <v>4000</v>
      </c>
    </row>
    <row r="96" spans="1:2" x14ac:dyDescent="0.2">
      <c r="A96" s="127" t="s">
        <v>172</v>
      </c>
      <c r="B96" s="126">
        <f>IFERROR(ROUND('2 Basic Budget Parameters'!B320,0),"$0")</f>
        <v>0</v>
      </c>
    </row>
    <row r="97" spans="1:2" x14ac:dyDescent="0.2">
      <c r="A97" s="156" t="s">
        <v>174</v>
      </c>
      <c r="B97" s="126">
        <f>'2 Basic Budget Parameters'!B328</f>
        <v>8400</v>
      </c>
    </row>
    <row r="98" spans="1:2" x14ac:dyDescent="0.2">
      <c r="A98" s="156" t="s">
        <v>175</v>
      </c>
      <c r="B98" s="126">
        <f>IFERROR(ROUND('2 Basic Budget Parameters'!B334,0),"$0")</f>
        <v>0</v>
      </c>
    </row>
    <row r="99" spans="1:2" x14ac:dyDescent="0.2">
      <c r="A99" s="127" t="s">
        <v>162</v>
      </c>
      <c r="B99" s="150">
        <f>IFERROR(ROUND('2 Basic Budget Parameters'!B353,0),"$0")</f>
        <v>9168</v>
      </c>
    </row>
    <row r="100" spans="1:2" x14ac:dyDescent="0.2">
      <c r="A100" s="125" t="s">
        <v>177</v>
      </c>
      <c r="B100" s="126">
        <f>'2 Basic Budget Parameters'!B365</f>
        <v>19280</v>
      </c>
    </row>
    <row r="101" spans="1:2" x14ac:dyDescent="0.2">
      <c r="A101" s="127" t="s">
        <v>260</v>
      </c>
      <c r="B101" s="126">
        <f>'2 Basic Budget Parameters'!B375</f>
        <v>1500</v>
      </c>
    </row>
    <row r="102" spans="1:2" x14ac:dyDescent="0.2">
      <c r="A102" s="125" t="s">
        <v>185</v>
      </c>
      <c r="B102" s="126">
        <f>'2 Basic Budget Parameters'!B391</f>
        <v>450</v>
      </c>
    </row>
    <row r="103" spans="1:2" x14ac:dyDescent="0.2">
      <c r="A103" s="125" t="s">
        <v>193</v>
      </c>
      <c r="B103" s="126">
        <f>'2 Basic Budget Parameters'!B396</f>
        <v>1800</v>
      </c>
    </row>
    <row r="104" spans="1:2" x14ac:dyDescent="0.2">
      <c r="A104" s="127" t="s">
        <v>194</v>
      </c>
      <c r="B104" s="126">
        <f>IFERROR(ROUND('2 Basic Budget Parameters'!B400,0),"$0")</f>
        <v>0</v>
      </c>
    </row>
    <row r="105" spans="1:2" x14ac:dyDescent="0.2">
      <c r="A105" s="127" t="s">
        <v>446</v>
      </c>
      <c r="B105" s="126">
        <f>IFERROR(ROUND('2 Basic Budget Parameters'!B404,0),"$0")</f>
        <v>0</v>
      </c>
    </row>
    <row r="106" spans="1:2" x14ac:dyDescent="0.2">
      <c r="A106" s="127" t="s">
        <v>195</v>
      </c>
      <c r="B106" s="126">
        <f>IFERROR(ROUND('2 Basic Budget Parameters'!B408,0),"$0")</f>
        <v>0</v>
      </c>
    </row>
    <row r="107" spans="1:2" x14ac:dyDescent="0.2">
      <c r="A107" s="125" t="s">
        <v>196</v>
      </c>
      <c r="B107" s="126">
        <f>ROUND('2 Basic Budget Parameters'!B412,0)</f>
        <v>18854</v>
      </c>
    </row>
    <row r="108" spans="1:2" x14ac:dyDescent="0.2">
      <c r="A108" s="154" t="str">
        <f>'2 Basic Budget Parameters'!A513</f>
        <v>Annual Building Mortgage Payment</v>
      </c>
      <c r="B108" s="488">
        <f>'2 Basic Budget Parameters'!B513</f>
        <v>9600</v>
      </c>
    </row>
    <row r="109" spans="1:2" x14ac:dyDescent="0.2">
      <c r="A109" s="154" t="str">
        <f>'2 Basic Budget Parameters'!A514</f>
        <v>Annual Equipment Loan Payment</v>
      </c>
      <c r="B109" s="488">
        <f>'2 Basic Budget Parameters'!B514</f>
        <v>13200</v>
      </c>
    </row>
    <row r="110" spans="1:2" x14ac:dyDescent="0.2">
      <c r="A110" s="154" t="str">
        <f>'2 Basic Budget Parameters'!A515</f>
        <v>Annual Equipment Out of Pocket Payment</v>
      </c>
      <c r="B110" s="488">
        <f>'2 Basic Budget Parameters'!B515</f>
        <v>8500</v>
      </c>
    </row>
    <row r="111" spans="1:2" x14ac:dyDescent="0.2">
      <c r="A111" s="154">
        <f>'2 Basic Budget Parameters'!A516</f>
        <v>0</v>
      </c>
      <c r="B111" s="488">
        <f>'2 Basic Budget Parameters'!B516</f>
        <v>0</v>
      </c>
    </row>
    <row r="112" spans="1:2" x14ac:dyDescent="0.2">
      <c r="A112" s="154">
        <f>'2 Basic Budget Parameters'!A517</f>
        <v>0</v>
      </c>
      <c r="B112" s="488">
        <f>'2 Basic Budget Parameters'!B517</f>
        <v>0</v>
      </c>
    </row>
    <row r="113" spans="1:2" x14ac:dyDescent="0.2">
      <c r="A113" s="154">
        <f>'2 Basic Budget Parameters'!A518</f>
        <v>0</v>
      </c>
      <c r="B113" s="488">
        <f>'2 Basic Budget Parameters'!B518</f>
        <v>0</v>
      </c>
    </row>
    <row r="114" spans="1:2" x14ac:dyDescent="0.2">
      <c r="A114" s="154">
        <f>'2 Basic Budget Parameters'!A519</f>
        <v>0</v>
      </c>
      <c r="B114" s="488">
        <f>'2 Basic Budget Parameters'!B519</f>
        <v>0</v>
      </c>
    </row>
    <row r="115" spans="1:2" x14ac:dyDescent="0.2">
      <c r="A115" s="154">
        <f>'2 Basic Budget Parameters'!A520</f>
        <v>0</v>
      </c>
      <c r="B115" s="488">
        <f>'2 Basic Budget Parameters'!B520</f>
        <v>0</v>
      </c>
    </row>
    <row r="116" spans="1:2" x14ac:dyDescent="0.2">
      <c r="A116" s="154"/>
      <c r="B116" s="488"/>
    </row>
    <row r="117" spans="1:2" x14ac:dyDescent="0.2">
      <c r="A117" s="125"/>
      <c r="B117" s="128"/>
    </row>
    <row r="118" spans="1:2" x14ac:dyDescent="0.2">
      <c r="A118" s="38"/>
      <c r="B118" s="128"/>
    </row>
    <row r="119" spans="1:2" x14ac:dyDescent="0.2">
      <c r="A119" s="125" t="s">
        <v>233</v>
      </c>
      <c r="B119" s="126">
        <f>ROUND(SUM(B92:B107),0)</f>
        <v>207389</v>
      </c>
    </row>
    <row r="120" spans="1:2" x14ac:dyDescent="0.2">
      <c r="A120" s="125" t="s">
        <v>386</v>
      </c>
      <c r="B120" s="126">
        <f>'2 Basic Budget Parameters'!B506</f>
        <v>0</v>
      </c>
    </row>
    <row r="121" spans="1:2" x14ac:dyDescent="0.2">
      <c r="A121" s="51" t="s">
        <v>390</v>
      </c>
      <c r="B121" s="157">
        <f>ROUND(B119-B120,0)</f>
        <v>207389</v>
      </c>
    </row>
    <row r="122" spans="1:2" ht="13.5" thickBot="1" x14ac:dyDescent="0.25">
      <c r="A122" s="41"/>
      <c r="B122" s="159"/>
    </row>
    <row r="123" spans="1:2" ht="13.5" thickTop="1" x14ac:dyDescent="0.2">
      <c r="A123" s="39"/>
      <c r="B123" s="40"/>
    </row>
    <row r="124" spans="1:2" x14ac:dyDescent="0.2">
      <c r="A124" s="122" t="s">
        <v>633</v>
      </c>
      <c r="B124" s="40"/>
    </row>
    <row r="125" spans="1:2" x14ac:dyDescent="0.2">
      <c r="A125" s="38" t="s">
        <v>237</v>
      </c>
      <c r="B125" s="481">
        <f>ROUND(B92,0)</f>
        <v>126752</v>
      </c>
    </row>
    <row r="126" spans="1:2" x14ac:dyDescent="0.2">
      <c r="A126" s="472" t="s">
        <v>238</v>
      </c>
      <c r="B126" s="42">
        <f>ROUND(B93,0)</f>
        <v>4025</v>
      </c>
    </row>
    <row r="127" spans="1:2" x14ac:dyDescent="0.2">
      <c r="A127" s="472" t="s">
        <v>240</v>
      </c>
      <c r="B127" s="40">
        <f>ROUND(SUM(B125:B126),0)</f>
        <v>130777</v>
      </c>
    </row>
    <row r="129" spans="1:2" x14ac:dyDescent="0.2">
      <c r="A129" s="472" t="s">
        <v>239</v>
      </c>
      <c r="B129" s="42">
        <f>'2 Basic Budget Parameters'!B506</f>
        <v>0</v>
      </c>
    </row>
    <row r="130" spans="1:2" x14ac:dyDescent="0.2">
      <c r="B130" s="40"/>
    </row>
    <row r="131" spans="1:2" s="39" customFormat="1" x14ac:dyDescent="0.2">
      <c r="A131" s="39" t="s">
        <v>241</v>
      </c>
      <c r="B131" s="40">
        <f>ROUND(B127-B129,0)</f>
        <v>130777</v>
      </c>
    </row>
    <row r="132" spans="1:2" ht="13.5" thickBot="1" x14ac:dyDescent="0.25">
      <c r="A132" s="41"/>
      <c r="B132" s="41"/>
    </row>
    <row r="133" spans="1:2" ht="13.5" thickTop="1" x14ac:dyDescent="0.2"/>
    <row r="134" spans="1:2" x14ac:dyDescent="0.2">
      <c r="A134" s="474" t="s">
        <v>261</v>
      </c>
      <c r="B134" s="30">
        <f>ROUND(B129/B127,3)</f>
        <v>0</v>
      </c>
    </row>
    <row r="135" spans="1:2" x14ac:dyDescent="0.2">
      <c r="A135" s="474" t="s">
        <v>262</v>
      </c>
      <c r="B135" s="30">
        <f>ROUND(B131/B127,3)</f>
        <v>1</v>
      </c>
    </row>
    <row r="136" spans="1:2" ht="13.5" thickBot="1" x14ac:dyDescent="0.25">
      <c r="A136" s="41"/>
      <c r="B136" s="41"/>
    </row>
    <row r="137" spans="1:2" ht="13.5" thickTop="1" x14ac:dyDescent="0.2"/>
    <row r="138" spans="1:2" ht="25.5" x14ac:dyDescent="0.2">
      <c r="A138" s="474" t="s">
        <v>242</v>
      </c>
      <c r="B138" s="30">
        <f>ROUND(B129/B119,3)</f>
        <v>0</v>
      </c>
    </row>
    <row r="139" spans="1:2" ht="25.5" x14ac:dyDescent="0.2">
      <c r="A139" s="474" t="s">
        <v>243</v>
      </c>
      <c r="B139" s="30">
        <f>ROUND(B131/B119,3)</f>
        <v>0.63100000000000001</v>
      </c>
    </row>
    <row r="140" spans="1:2" ht="13.5" thickBot="1" x14ac:dyDescent="0.25">
      <c r="A140" s="41"/>
      <c r="B140" s="41"/>
    </row>
    <row r="141" spans="1:2" ht="13.5" thickTop="1" x14ac:dyDescent="0.2"/>
    <row r="142" spans="1:2" x14ac:dyDescent="0.2">
      <c r="A142" s="123" t="s">
        <v>634</v>
      </c>
    </row>
    <row r="143" spans="1:2" x14ac:dyDescent="0.2">
      <c r="A143" s="38" t="s">
        <v>275</v>
      </c>
      <c r="B143" s="481">
        <f>ROUND('1 Basic Budget'!B131,0)</f>
        <v>130777</v>
      </c>
    </row>
    <row r="144" spans="1:2" x14ac:dyDescent="0.2">
      <c r="A144" s="474" t="s">
        <v>387</v>
      </c>
      <c r="B144" s="42">
        <f>ROUND(SUM('1 Basic Budget'!B94:B117),0)</f>
        <v>107912</v>
      </c>
    </row>
    <row r="145" spans="1:2" x14ac:dyDescent="0.2">
      <c r="A145" s="39"/>
      <c r="B145" s="40"/>
    </row>
    <row r="146" spans="1:2" s="39" customFormat="1" ht="13.9" customHeight="1" x14ac:dyDescent="0.2">
      <c r="A146" s="51" t="s">
        <v>389</v>
      </c>
      <c r="B146" s="40">
        <f>SUM(B143:B144)</f>
        <v>238689</v>
      </c>
    </row>
    <row r="147" spans="1:2" x14ac:dyDescent="0.2">
      <c r="A147" s="474" t="s">
        <v>388</v>
      </c>
      <c r="B147" s="42">
        <f>'1 Basic Budget'!B83</f>
        <v>0</v>
      </c>
    </row>
    <row r="148" spans="1:2" s="39" customFormat="1" x14ac:dyDescent="0.2">
      <c r="A148" s="51"/>
      <c r="B148" s="40"/>
    </row>
    <row r="149" spans="1:2" ht="25.15" customHeight="1" x14ac:dyDescent="0.2">
      <c r="A149" s="474" t="s">
        <v>276</v>
      </c>
      <c r="B149" s="34">
        <f>SUM(B146:B147)</f>
        <v>238689</v>
      </c>
    </row>
    <row r="150" spans="1:2" ht="13.5" thickBot="1" x14ac:dyDescent="0.25">
      <c r="A150" s="41"/>
      <c r="B150" s="41"/>
    </row>
    <row r="151" spans="1:2" ht="13.5" thickTop="1" x14ac:dyDescent="0.2"/>
    <row r="152" spans="1:2" x14ac:dyDescent="0.2">
      <c r="A152" s="123" t="s">
        <v>635</v>
      </c>
    </row>
    <row r="153" spans="1:2" x14ac:dyDescent="0.2">
      <c r="A153" s="38" t="s">
        <v>244</v>
      </c>
      <c r="B153" s="38"/>
    </row>
    <row r="154" spans="1:2" x14ac:dyDescent="0.2">
      <c r="A154" s="37" t="s">
        <v>399</v>
      </c>
      <c r="B154" s="34">
        <f>'2 Basic Budget Parameters'!B571</f>
        <v>68931</v>
      </c>
    </row>
    <row r="155" spans="1:2" x14ac:dyDescent="0.2">
      <c r="A155" s="37" t="s">
        <v>398</v>
      </c>
      <c r="B155" s="34">
        <f>'2 Basic Budget Parameters'!B572</f>
        <v>36755</v>
      </c>
    </row>
    <row r="156" spans="1:2" x14ac:dyDescent="0.2">
      <c r="A156" s="37" t="s">
        <v>665</v>
      </c>
      <c r="B156" s="34">
        <f>'2 Basic Budget Parameters'!B573</f>
        <v>0</v>
      </c>
    </row>
    <row r="157" spans="1:2" x14ac:dyDescent="0.2">
      <c r="A157" s="37" t="s">
        <v>663</v>
      </c>
      <c r="B157" s="34">
        <f>'2 Basic Budget Parameters'!B574</f>
        <v>0</v>
      </c>
    </row>
    <row r="158" spans="1:2" x14ac:dyDescent="0.2">
      <c r="A158" s="37"/>
      <c r="B158" s="34"/>
    </row>
    <row r="159" spans="1:2" x14ac:dyDescent="0.2">
      <c r="A159" s="37"/>
      <c r="B159" s="34"/>
    </row>
    <row r="161" spans="1:2" x14ac:dyDescent="0.2">
      <c r="A161" s="472" t="s">
        <v>253</v>
      </c>
    </row>
    <row r="162" spans="1:2" x14ac:dyDescent="0.2">
      <c r="A162" s="37" t="s">
        <v>265</v>
      </c>
      <c r="B162" s="34">
        <f>'2 Basic Budget Parameters'!B592</f>
        <v>30169</v>
      </c>
    </row>
    <row r="163" spans="1:2" x14ac:dyDescent="0.2">
      <c r="A163" s="37" t="s">
        <v>266</v>
      </c>
      <c r="B163" s="34">
        <f>'2 Basic Budget Parameters'!B593</f>
        <v>21418</v>
      </c>
    </row>
    <row r="165" spans="1:2" x14ac:dyDescent="0.2">
      <c r="A165" s="472" t="s">
        <v>268</v>
      </c>
    </row>
    <row r="166" spans="1:2" x14ac:dyDescent="0.2">
      <c r="A166" s="36" t="s">
        <v>400</v>
      </c>
      <c r="B166" s="34">
        <f>'2 Basic Budget Parameters'!B597</f>
        <v>0</v>
      </c>
    </row>
    <row r="167" spans="1:2" x14ac:dyDescent="0.2">
      <c r="A167" s="36" t="s">
        <v>401</v>
      </c>
      <c r="B167" s="34">
        <f>'2 Basic Budget Parameters'!B598</f>
        <v>53482</v>
      </c>
    </row>
    <row r="168" spans="1:2" x14ac:dyDescent="0.2">
      <c r="A168" s="36" t="s">
        <v>505</v>
      </c>
      <c r="B168" s="34">
        <f>'2 Basic Budget Parameters'!B599</f>
        <v>0</v>
      </c>
    </row>
    <row r="169" spans="1:2" x14ac:dyDescent="0.2">
      <c r="A169" s="36" t="s">
        <v>267</v>
      </c>
      <c r="B169" s="34">
        <f>'2 Basic Budget Parameters'!B600</f>
        <v>0</v>
      </c>
    </row>
    <row r="170" spans="1:2" x14ac:dyDescent="0.2">
      <c r="A170" s="36" t="s">
        <v>269</v>
      </c>
      <c r="B170" s="34">
        <f>'2 Basic Budget Parameters'!B601</f>
        <v>0</v>
      </c>
    </row>
    <row r="171" spans="1:2" x14ac:dyDescent="0.2">
      <c r="A171" s="36" t="s">
        <v>270</v>
      </c>
      <c r="B171" s="34">
        <f>'2 Basic Budget Parameters'!B602</f>
        <v>0</v>
      </c>
    </row>
    <row r="172" spans="1:2" x14ac:dyDescent="0.2">
      <c r="A172" s="36" t="s">
        <v>271</v>
      </c>
      <c r="B172" s="34">
        <f>'2 Basic Budget Parameters'!B603</f>
        <v>0</v>
      </c>
    </row>
    <row r="173" spans="1:2" x14ac:dyDescent="0.2">
      <c r="A173" s="36" t="s">
        <v>272</v>
      </c>
      <c r="B173" s="34">
        <f>'2 Basic Budget Parameters'!B604</f>
        <v>6500</v>
      </c>
    </row>
    <row r="174" spans="1:2" x14ac:dyDescent="0.2">
      <c r="A174" s="472" t="s">
        <v>273</v>
      </c>
      <c r="B174" s="34">
        <f>'2 Basic Budget Parameters'!B605</f>
        <v>1756</v>
      </c>
    </row>
    <row r="175" spans="1:2" x14ac:dyDescent="0.2">
      <c r="A175" s="472" t="s">
        <v>507</v>
      </c>
      <c r="B175" s="34">
        <f>'2 Basic Budget Parameters'!B606</f>
        <v>20000</v>
      </c>
    </row>
    <row r="176" spans="1:2" ht="10.5" customHeight="1" x14ac:dyDescent="0.2">
      <c r="A176" s="472" t="s">
        <v>274</v>
      </c>
      <c r="B176" s="34">
        <f>'2 Basic Budget Parameters'!B607</f>
        <v>2865</v>
      </c>
    </row>
    <row r="177" spans="1:2" x14ac:dyDescent="0.2">
      <c r="A177" s="472" t="s">
        <v>519</v>
      </c>
      <c r="B177" s="34">
        <f>'2 Basic Budget Parameters'!B608</f>
        <v>0</v>
      </c>
    </row>
    <row r="178" spans="1:2" x14ac:dyDescent="0.2">
      <c r="A178" s="32"/>
      <c r="B178" s="32"/>
    </row>
    <row r="180" spans="1:2" x14ac:dyDescent="0.2">
      <c r="A180" s="472" t="s">
        <v>277</v>
      </c>
      <c r="B180" s="34">
        <f>SUM(B153:B178)</f>
        <v>241876</v>
      </c>
    </row>
    <row r="181" spans="1:2" x14ac:dyDescent="0.2">
      <c r="A181" s="32"/>
      <c r="B181" s="32"/>
    </row>
    <row r="182" spans="1:2" x14ac:dyDescent="0.2">
      <c r="A182" s="123" t="s">
        <v>493</v>
      </c>
    </row>
    <row r="183" spans="1:2" x14ac:dyDescent="0.2">
      <c r="A183" s="65" t="s">
        <v>380</v>
      </c>
      <c r="B183" s="53">
        <f>B180-B149</f>
        <v>3187</v>
      </c>
    </row>
    <row r="184" spans="1:2" x14ac:dyDescent="0.2">
      <c r="A184" s="32"/>
      <c r="B184" s="32"/>
    </row>
    <row r="186" spans="1:2" x14ac:dyDescent="0.2">
      <c r="A186" s="123" t="s">
        <v>636</v>
      </c>
    </row>
    <row r="187" spans="1:2" ht="25.5" x14ac:dyDescent="0.2">
      <c r="A187" s="482" t="s">
        <v>392</v>
      </c>
      <c r="B187" s="481">
        <f>'1 Basic Budget'!B119+'1 Basic Budget'!B83</f>
        <v>207389</v>
      </c>
    </row>
    <row r="188" spans="1:2" x14ac:dyDescent="0.2">
      <c r="A188" s="68" t="s">
        <v>510</v>
      </c>
      <c r="B188" s="34">
        <f>ROUND(B187/'2 Basic Budget Parameters'!B7,0)</f>
        <v>473</v>
      </c>
    </row>
    <row r="189" spans="1:2" x14ac:dyDescent="0.2">
      <c r="A189" s="68" t="s">
        <v>511</v>
      </c>
      <c r="B189" s="34">
        <f>ROUND(B187/'2 Basic Budget Parameters'!B19,0)</f>
        <v>630</v>
      </c>
    </row>
    <row r="190" spans="1:2" x14ac:dyDescent="0.2">
      <c r="A190" s="68"/>
      <c r="B190" s="34"/>
    </row>
    <row r="191" spans="1:2" ht="25.5" x14ac:dyDescent="0.2">
      <c r="A191" s="474" t="s">
        <v>393</v>
      </c>
      <c r="B191" s="34">
        <f>B149</f>
        <v>238689</v>
      </c>
    </row>
    <row r="192" spans="1:2" x14ac:dyDescent="0.2">
      <c r="A192" s="68" t="s">
        <v>510</v>
      </c>
      <c r="B192" s="34">
        <f>ROUND(B191/'2 Basic Budget Parameters'!B7,0)</f>
        <v>545</v>
      </c>
    </row>
    <row r="193" spans="1:2" x14ac:dyDescent="0.2">
      <c r="A193" s="68" t="s">
        <v>511</v>
      </c>
      <c r="B193" s="34">
        <f>ROUND(B191/'2 Basic Budget Parameters'!B19,0)</f>
        <v>725</v>
      </c>
    </row>
    <row r="195" spans="1:2" x14ac:dyDescent="0.2">
      <c r="A195" s="472" t="s">
        <v>394</v>
      </c>
      <c r="B195" s="34">
        <f>B180</f>
        <v>241876</v>
      </c>
    </row>
    <row r="196" spans="1:2" x14ac:dyDescent="0.2">
      <c r="A196" s="68" t="s">
        <v>512</v>
      </c>
      <c r="B196" s="34">
        <f>ROUND(B195/'2 Basic Budget Parameters'!B7,0)</f>
        <v>552</v>
      </c>
    </row>
    <row r="197" spans="1:2" x14ac:dyDescent="0.2">
      <c r="A197" s="68" t="s">
        <v>513</v>
      </c>
      <c r="B197" s="34">
        <f>ROUND(B195/'2 Basic Budget Parameters'!B19,0)</f>
        <v>735</v>
      </c>
    </row>
    <row r="198" spans="1:2" x14ac:dyDescent="0.2">
      <c r="A198" s="32"/>
      <c r="B198" s="32"/>
    </row>
    <row r="200" spans="1:2" x14ac:dyDescent="0.2">
      <c r="A200" s="123" t="s">
        <v>637</v>
      </c>
    </row>
    <row r="201" spans="1:2" x14ac:dyDescent="0.2">
      <c r="A201" s="482" t="s">
        <v>86</v>
      </c>
      <c r="B201" s="481">
        <f>'1 Basic Budget'!B54</f>
        <v>0</v>
      </c>
    </row>
    <row r="202" spans="1:2" x14ac:dyDescent="0.2">
      <c r="A202" s="472" t="s">
        <v>559</v>
      </c>
      <c r="B202" s="34">
        <f>'1 Basic Budget'!B83</f>
        <v>0</v>
      </c>
    </row>
    <row r="203" spans="1:2" x14ac:dyDescent="0.2">
      <c r="A203" s="472" t="s">
        <v>560</v>
      </c>
      <c r="B203" s="34">
        <f>B143</f>
        <v>130777</v>
      </c>
    </row>
    <row r="204" spans="1:2" x14ac:dyDescent="0.2">
      <c r="A204" s="474" t="s">
        <v>557</v>
      </c>
      <c r="B204" s="34">
        <f>B146</f>
        <v>238689</v>
      </c>
    </row>
    <row r="205" spans="1:2" ht="25.5" x14ac:dyDescent="0.2">
      <c r="A205" s="474" t="s">
        <v>558</v>
      </c>
      <c r="B205" s="34">
        <f>B149</f>
        <v>238689</v>
      </c>
    </row>
    <row r="206" spans="1:2" x14ac:dyDescent="0.2">
      <c r="A206" s="474"/>
      <c r="B206" s="34"/>
    </row>
    <row r="207" spans="1:2" x14ac:dyDescent="0.2">
      <c r="A207" s="472" t="s">
        <v>562</v>
      </c>
    </row>
    <row r="208" spans="1:2" x14ac:dyDescent="0.2">
      <c r="A208" s="474" t="s">
        <v>561</v>
      </c>
      <c r="B208" s="30">
        <f>B201/B204</f>
        <v>0</v>
      </c>
    </row>
    <row r="209" spans="1:2" ht="25.5" x14ac:dyDescent="0.2">
      <c r="A209" s="474" t="s">
        <v>565</v>
      </c>
      <c r="B209" s="30">
        <f>B201/B205</f>
        <v>0</v>
      </c>
    </row>
    <row r="210" spans="1:2" x14ac:dyDescent="0.2">
      <c r="A210" s="474"/>
      <c r="B210" s="30"/>
    </row>
    <row r="211" spans="1:2" x14ac:dyDescent="0.2">
      <c r="A211" s="472" t="s">
        <v>563</v>
      </c>
    </row>
    <row r="212" spans="1:2" x14ac:dyDescent="0.2">
      <c r="A212" s="474" t="s">
        <v>561</v>
      </c>
      <c r="B212" s="30">
        <f>B202/B204</f>
        <v>0</v>
      </c>
    </row>
    <row r="213" spans="1:2" ht="25.5" x14ac:dyDescent="0.2">
      <c r="A213" s="474" t="s">
        <v>565</v>
      </c>
      <c r="B213" s="30">
        <f>B202/B205</f>
        <v>0</v>
      </c>
    </row>
    <row r="215" spans="1:2" x14ac:dyDescent="0.2">
      <c r="A215" s="472" t="s">
        <v>564</v>
      </c>
    </row>
    <row r="216" spans="1:2" x14ac:dyDescent="0.2">
      <c r="A216" s="474" t="s">
        <v>561</v>
      </c>
      <c r="B216" s="30">
        <f>B203/B204</f>
        <v>0.54789705432592206</v>
      </c>
    </row>
    <row r="217" spans="1:2" ht="25.5" x14ac:dyDescent="0.2">
      <c r="A217" s="474" t="s">
        <v>565</v>
      </c>
      <c r="B217" s="30">
        <f>B203/B205</f>
        <v>0.54789705432592206</v>
      </c>
    </row>
    <row r="218" spans="1:2" x14ac:dyDescent="0.2">
      <c r="A218" s="32"/>
      <c r="B218" s="32"/>
    </row>
  </sheetData>
  <sheetProtection sheet="1" objects="1" scenarios="1"/>
  <mergeCells count="4">
    <mergeCell ref="A1:B1"/>
    <mergeCell ref="A3:B3"/>
    <mergeCell ref="A28:B28"/>
    <mergeCell ref="A57:B57"/>
  </mergeCells>
  <printOptions horizontalCentered="1"/>
  <pageMargins left="0.5" right="0.5" top="0.5" bottom="0.5" header="0.3" footer="0.3"/>
  <pageSetup orientation="portrait" r:id="rId1"/>
  <rowBreaks count="8" manualBreakCount="8">
    <brk id="27" max="9" man="1"/>
    <brk id="56" max="9" man="1"/>
    <brk id="85" max="9" man="1"/>
    <brk id="123" max="9" man="1"/>
    <brk id="141" max="9" man="1"/>
    <brk id="151" max="9" man="1"/>
    <brk id="185" max="16383" man="1"/>
    <brk id="1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tabSelected="1" view="pageBreakPreview" zoomScaleNormal="70" zoomScaleSheetLayoutView="100" workbookViewId="0">
      <pane xSplit="1" ySplit="2" topLeftCell="B194" activePane="bottomRight" state="frozen"/>
      <selection activeCell="M536" sqref="M536"/>
      <selection pane="topRight" activeCell="M536" sqref="M536"/>
      <selection pane="bottomLeft" activeCell="M536" sqref="M536"/>
      <selection pane="bottomRight" sqref="A1:XFD1048576"/>
    </sheetView>
  </sheetViews>
  <sheetFormatPr defaultColWidth="8.85546875" defaultRowHeight="12.75" x14ac:dyDescent="0.2"/>
  <cols>
    <col min="1" max="1" width="33.5703125" style="27" customWidth="1"/>
    <col min="2" max="10" width="9.7109375" style="27" customWidth="1"/>
    <col min="11" max="16384" width="8.85546875" style="27"/>
  </cols>
  <sheetData>
    <row r="1" spans="1:11" x14ac:dyDescent="0.2">
      <c r="A1" s="499" t="s">
        <v>646</v>
      </c>
      <c r="B1" s="499"/>
      <c r="C1" s="499"/>
      <c r="D1" s="499"/>
      <c r="E1" s="499"/>
      <c r="F1" s="499"/>
      <c r="G1" s="499"/>
      <c r="H1" s="499"/>
      <c r="I1" s="499"/>
      <c r="J1" s="499"/>
    </row>
    <row r="2" spans="1:11" x14ac:dyDescent="0.2">
      <c r="B2" s="152" t="str">
        <f>'11 EXS 1-9 Budget Parameters'!B2</f>
        <v>EX1</v>
      </c>
      <c r="C2" s="152" t="str">
        <f>'11 EXS 1-9 Budget Parameters'!C2</f>
        <v>EX2</v>
      </c>
      <c r="D2" s="152" t="str">
        <f>'11 EXS 1-9 Budget Parameters'!D2</f>
        <v>EX3</v>
      </c>
      <c r="E2" s="152" t="str">
        <f>'11 EXS 1-9 Budget Parameters'!E2</f>
        <v>EX4</v>
      </c>
      <c r="F2" s="152" t="str">
        <f>'11 EXS 1-9 Budget Parameters'!F2</f>
        <v>EX5</v>
      </c>
      <c r="G2" s="152" t="str">
        <f>'11 EXS 1-9 Budget Parameters'!G2</f>
        <v>EX6</v>
      </c>
      <c r="H2" s="152" t="str">
        <f>'11 EXS 1-9 Budget Parameters'!H2</f>
        <v>EX7</v>
      </c>
      <c r="I2" s="152" t="str">
        <f>'11 EXS 1-9 Budget Parameters'!I2</f>
        <v>EX8</v>
      </c>
      <c r="J2" s="153" t="str">
        <f>'11 EXS 1-9 Budget Parameters'!J2</f>
        <v>EX9</v>
      </c>
    </row>
    <row r="3" spans="1:11" x14ac:dyDescent="0.2">
      <c r="A3" s="501" t="s">
        <v>639</v>
      </c>
      <c r="B3" s="501"/>
      <c r="C3" s="501"/>
      <c r="D3" s="501"/>
      <c r="E3" s="501"/>
      <c r="F3" s="501"/>
      <c r="G3" s="501"/>
      <c r="H3" s="501"/>
      <c r="I3" s="501"/>
      <c r="J3" s="501"/>
      <c r="K3" s="28"/>
    </row>
    <row r="4" spans="1:11" x14ac:dyDescent="0.2">
      <c r="A4" s="84" t="str">
        <f>'11 EXS 1-9 Budget Parameters'!A4</f>
        <v>Level of Care</v>
      </c>
      <c r="B4" s="129" t="str">
        <f>'11 EXS 1-9 Budget Parameters'!B4</f>
        <v>Basic</v>
      </c>
      <c r="C4" s="129" t="str">
        <f>'11 EXS 1-9 Budget Parameters'!C4</f>
        <v>Basic</v>
      </c>
      <c r="D4" s="129" t="str">
        <f>'11 EXS 1-9 Budget Parameters'!D4</f>
        <v>Basic</v>
      </c>
      <c r="E4" s="129" t="str">
        <f>'11 EXS 1-9 Budget Parameters'!E4</f>
        <v>Basic</v>
      </c>
      <c r="F4" s="129" t="str">
        <f>'11 EXS 1-9 Budget Parameters'!F4</f>
        <v>Basic</v>
      </c>
      <c r="G4" s="129" t="str">
        <f>'11 EXS 1-9 Budget Parameters'!G4</f>
        <v>Basic</v>
      </c>
      <c r="H4" s="129" t="str">
        <f>'11 EXS 1-9 Budget Parameters'!H4</f>
        <v>Basic</v>
      </c>
      <c r="I4" s="129" t="str">
        <f>'11 EXS 1-9 Budget Parameters'!I4</f>
        <v>Basic</v>
      </c>
      <c r="J4" s="130" t="str">
        <f>'11 EXS 1-9 Budget Parameters'!J4</f>
        <v>Basic</v>
      </c>
    </row>
    <row r="5" spans="1:11" x14ac:dyDescent="0.2">
      <c r="A5" s="125" t="str">
        <f>'11 EXS 1-9 Budget Parameters'!A5</f>
        <v>Protocols</v>
      </c>
      <c r="B5" s="131" t="str">
        <f>'11 EXS 1-9 Budget Parameters'!B5</f>
        <v>None</v>
      </c>
      <c r="C5" s="131" t="str">
        <f>'11 EXS 1-9 Budget Parameters'!C5</f>
        <v>None</v>
      </c>
      <c r="D5" s="131" t="str">
        <f>'11 EXS 1-9 Budget Parameters'!D5</f>
        <v>None</v>
      </c>
      <c r="E5" s="131" t="str">
        <f>'11 EXS 1-9 Budget Parameters'!E5</f>
        <v>ALS</v>
      </c>
      <c r="F5" s="131" t="str">
        <f>'11 EXS 1-9 Budget Parameters'!F5</f>
        <v>ALS</v>
      </c>
      <c r="G5" s="131" t="str">
        <f>'11 EXS 1-9 Budget Parameters'!G5</f>
        <v>ALS</v>
      </c>
      <c r="H5" s="131" t="str">
        <f>'11 EXS 1-9 Budget Parameters'!H5</f>
        <v>ALS</v>
      </c>
      <c r="I5" s="131" t="str">
        <f>'11 EXS 1-9 Budget Parameters'!I5</f>
        <v>ALS</v>
      </c>
      <c r="J5" s="132" t="str">
        <f>'11 EXS 1-9 Budget Parameters'!J5</f>
        <v>ALS</v>
      </c>
    </row>
    <row r="6" spans="1:11" x14ac:dyDescent="0.2">
      <c r="A6" s="125" t="str">
        <f>'11 EXS 1-9 Budget Parameters'!A6</f>
        <v>Avg Calls Per day</v>
      </c>
      <c r="B6" s="133">
        <f>'11 EXS 1-9 Budget Parameters'!B6</f>
        <v>1</v>
      </c>
      <c r="C6" s="133">
        <f>'11 EXS 1-9 Budget Parameters'!C6</f>
        <v>2</v>
      </c>
      <c r="D6" s="133">
        <f>'11 EXS 1-9 Budget Parameters'!D6</f>
        <v>3</v>
      </c>
      <c r="E6" s="133">
        <f>'11 EXS 1-9 Budget Parameters'!E6</f>
        <v>4</v>
      </c>
      <c r="F6" s="133">
        <f>'11 EXS 1-9 Budget Parameters'!F6</f>
        <v>5</v>
      </c>
      <c r="G6" s="133">
        <f>'11 EXS 1-9 Budget Parameters'!G6</f>
        <v>6</v>
      </c>
      <c r="H6" s="133">
        <f>'11 EXS 1-9 Budget Parameters'!H6</f>
        <v>7</v>
      </c>
      <c r="I6" s="133">
        <f>'11 EXS 1-9 Budget Parameters'!I6</f>
        <v>8</v>
      </c>
      <c r="J6" s="134">
        <f>'11 EXS 1-9 Budget Parameters'!J6</f>
        <v>9</v>
      </c>
    </row>
    <row r="7" spans="1:11" x14ac:dyDescent="0.2">
      <c r="A7" s="125" t="str">
        <f>'11 EXS 1-9 Budget Parameters'!A7</f>
        <v>No. of Calls</v>
      </c>
      <c r="B7" s="135">
        <f>'11 EXS 1-9 Budget Parameters'!B7</f>
        <v>365</v>
      </c>
      <c r="C7" s="135">
        <f>'11 EXS 1-9 Budget Parameters'!C7</f>
        <v>730</v>
      </c>
      <c r="D7" s="135">
        <f>'11 EXS 1-9 Budget Parameters'!D7</f>
        <v>1095</v>
      </c>
      <c r="E7" s="135">
        <f>'11 EXS 1-9 Budget Parameters'!E7</f>
        <v>1460</v>
      </c>
      <c r="F7" s="135">
        <f>'11 EXS 1-9 Budget Parameters'!F7</f>
        <v>1825</v>
      </c>
      <c r="G7" s="135">
        <f>'11 EXS 1-9 Budget Parameters'!G7</f>
        <v>2190</v>
      </c>
      <c r="H7" s="135">
        <f>'11 EXS 1-9 Budget Parameters'!H7</f>
        <v>2555</v>
      </c>
      <c r="I7" s="135">
        <f>'11 EXS 1-9 Budget Parameters'!I7</f>
        <v>2920</v>
      </c>
      <c r="J7" s="136">
        <f>'11 EXS 1-9 Budget Parameters'!J7</f>
        <v>3285</v>
      </c>
    </row>
    <row r="8" spans="1:11" x14ac:dyDescent="0.2">
      <c r="A8" s="125"/>
      <c r="B8" s="135"/>
      <c r="C8" s="135"/>
      <c r="D8" s="135"/>
      <c r="E8" s="135"/>
      <c r="F8" s="135"/>
      <c r="G8" s="135"/>
      <c r="H8" s="135"/>
      <c r="I8" s="135"/>
      <c r="J8" s="136"/>
    </row>
    <row r="9" spans="1:11" x14ac:dyDescent="0.2">
      <c r="A9" s="125" t="str">
        <f>'11 EXS 1-9 Budget Parameters'!A9</f>
        <v>% of Billable Calls</v>
      </c>
      <c r="B9" s="137">
        <f>'11 EXS 1-9 Budget Parameters'!B9</f>
        <v>0.75</v>
      </c>
      <c r="C9" s="137">
        <f>'11 EXS 1-9 Budget Parameters'!C9</f>
        <v>0.75</v>
      </c>
      <c r="D9" s="137">
        <f>'11 EXS 1-9 Budget Parameters'!D9</f>
        <v>0.75</v>
      </c>
      <c r="E9" s="137">
        <f>'11 EXS 1-9 Budget Parameters'!E9</f>
        <v>0.75</v>
      </c>
      <c r="F9" s="137">
        <f>'11 EXS 1-9 Budget Parameters'!F9</f>
        <v>0.75</v>
      </c>
      <c r="G9" s="137">
        <f>'11 EXS 1-9 Budget Parameters'!G9</f>
        <v>0.75</v>
      </c>
      <c r="H9" s="137">
        <f>'11 EXS 1-9 Budget Parameters'!H9</f>
        <v>0.7</v>
      </c>
      <c r="I9" s="137">
        <f>'11 EXS 1-9 Budget Parameters'!I9</f>
        <v>0.7</v>
      </c>
      <c r="J9" s="138">
        <f>'11 EXS 1-9 Budget Parameters'!J9</f>
        <v>0.7</v>
      </c>
    </row>
    <row r="10" spans="1:11" ht="12.6" customHeight="1" x14ac:dyDescent="0.2">
      <c r="A10" s="125"/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1" x14ac:dyDescent="0.2">
      <c r="A11" s="125" t="str">
        <f>'11 EXS 1-9 Budget Parameters'!A19</f>
        <v>No. of Billable Calls.</v>
      </c>
      <c r="B11" s="135">
        <f>'11 EXS 1-9 Budget Parameters'!B19</f>
        <v>274</v>
      </c>
      <c r="C11" s="135">
        <f>'11 EXS 1-9 Budget Parameters'!C19</f>
        <v>548</v>
      </c>
      <c r="D11" s="135">
        <f>'11 EXS 1-9 Budget Parameters'!D19</f>
        <v>821</v>
      </c>
      <c r="E11" s="135">
        <f>'11 EXS 1-9 Budget Parameters'!E19</f>
        <v>1095</v>
      </c>
      <c r="F11" s="135">
        <f>'11 EXS 1-9 Budget Parameters'!F19</f>
        <v>1369</v>
      </c>
      <c r="G11" s="135">
        <f>'11 EXS 1-9 Budget Parameters'!G19</f>
        <v>1643</v>
      </c>
      <c r="H11" s="135">
        <f>'11 EXS 1-9 Budget Parameters'!H19</f>
        <v>1789</v>
      </c>
      <c r="I11" s="135">
        <f>'11 EXS 1-9 Budget Parameters'!I19</f>
        <v>2044</v>
      </c>
      <c r="J11" s="136">
        <f>'11 EXS 1-9 Budget Parameters'!J19</f>
        <v>2300</v>
      </c>
    </row>
    <row r="12" spans="1:11" x14ac:dyDescent="0.2">
      <c r="A12" s="125"/>
      <c r="B12" s="135"/>
      <c r="C12" s="135"/>
      <c r="D12" s="135"/>
      <c r="E12" s="135"/>
      <c r="F12" s="135"/>
      <c r="G12" s="135"/>
      <c r="H12" s="135"/>
      <c r="I12" s="135"/>
      <c r="J12" s="136"/>
    </row>
    <row r="13" spans="1:11" x14ac:dyDescent="0.2">
      <c r="A13" s="125" t="str">
        <f>'11 EXS 1-9 Budget Parameters'!A31</f>
        <v>Total Miles Driven</v>
      </c>
      <c r="B13" s="135">
        <f>'11 EXS 1-9 Budget Parameters'!B31</f>
        <v>14600</v>
      </c>
      <c r="C13" s="135">
        <f>'11 EXS 1-9 Budget Parameters'!C31</f>
        <v>29200</v>
      </c>
      <c r="D13" s="135">
        <f>'11 EXS 1-9 Budget Parameters'!D31</f>
        <v>43800</v>
      </c>
      <c r="E13" s="135">
        <f>'11 EXS 1-9 Budget Parameters'!E31</f>
        <v>58400</v>
      </c>
      <c r="F13" s="135">
        <f>'11 EXS 1-9 Budget Parameters'!F31</f>
        <v>73000</v>
      </c>
      <c r="G13" s="135">
        <f>'11 EXS 1-9 Budget Parameters'!G31</f>
        <v>87600</v>
      </c>
      <c r="H13" s="135">
        <f>'11 EXS 1-9 Budget Parameters'!H31</f>
        <v>102200</v>
      </c>
      <c r="I13" s="135">
        <f>'11 EXS 1-9 Budget Parameters'!I31</f>
        <v>116800</v>
      </c>
      <c r="J13" s="136">
        <f>'11 EXS 1-9 Budget Parameters'!J31</f>
        <v>131400</v>
      </c>
    </row>
    <row r="14" spans="1:11" x14ac:dyDescent="0.2">
      <c r="A14" s="125" t="str">
        <f>'11 EXS 1-9 Budget Parameters'!A32</f>
        <v>Avg Miles Per All Calls</v>
      </c>
      <c r="B14" s="128">
        <f>'11 EXS 1-9 Budget Parameters'!B32</f>
        <v>40</v>
      </c>
      <c r="C14" s="128">
        <f>'11 EXS 1-9 Budget Parameters'!C32</f>
        <v>40</v>
      </c>
      <c r="D14" s="128">
        <f>'11 EXS 1-9 Budget Parameters'!D32</f>
        <v>40</v>
      </c>
      <c r="E14" s="128">
        <f>'11 EXS 1-9 Budget Parameters'!E32</f>
        <v>40</v>
      </c>
      <c r="F14" s="128">
        <f>'11 EXS 1-9 Budget Parameters'!F32</f>
        <v>40</v>
      </c>
      <c r="G14" s="128">
        <f>'11 EXS 1-9 Budget Parameters'!G32</f>
        <v>40</v>
      </c>
      <c r="H14" s="128">
        <f>'11 EXS 1-9 Budget Parameters'!H32</f>
        <v>40</v>
      </c>
      <c r="I14" s="128">
        <f>'11 EXS 1-9 Budget Parameters'!I32</f>
        <v>40</v>
      </c>
      <c r="J14" s="72">
        <f>'11 EXS 1-9 Budget Parameters'!J32</f>
        <v>40</v>
      </c>
    </row>
    <row r="15" spans="1:11" x14ac:dyDescent="0.2">
      <c r="A15" s="125" t="str">
        <f>'11 EXS 1-9 Budget Parameters'!A33</f>
        <v>% of Billable Miles</v>
      </c>
      <c r="B15" s="137">
        <f>'11 EXS 1-9 Budget Parameters'!B33</f>
        <v>0.46</v>
      </c>
      <c r="C15" s="137">
        <f>'11 EXS 1-9 Budget Parameters'!C33</f>
        <v>0.46</v>
      </c>
      <c r="D15" s="137">
        <f>'11 EXS 1-9 Budget Parameters'!D33</f>
        <v>0.46</v>
      </c>
      <c r="E15" s="137">
        <f>'11 EXS 1-9 Budget Parameters'!E33</f>
        <v>0.46</v>
      </c>
      <c r="F15" s="137">
        <f>'11 EXS 1-9 Budget Parameters'!F33</f>
        <v>0.46</v>
      </c>
      <c r="G15" s="137">
        <f>'11 EXS 1-9 Budget Parameters'!G33</f>
        <v>0.46</v>
      </c>
      <c r="H15" s="137">
        <f>'11 EXS 1-9 Budget Parameters'!H33</f>
        <v>0.46</v>
      </c>
      <c r="I15" s="137">
        <f>'11 EXS 1-9 Budget Parameters'!I33</f>
        <v>0.46</v>
      </c>
      <c r="J15" s="138">
        <f>'11 EXS 1-9 Budget Parameters'!J33</f>
        <v>0.46</v>
      </c>
    </row>
    <row r="16" spans="1:11" x14ac:dyDescent="0.2">
      <c r="A16" s="125" t="str">
        <f>'11 EXS 1-9 Budget Parameters'!A34</f>
        <v>No. of Billable Miles</v>
      </c>
      <c r="B16" s="135">
        <f>'11 EXS 1-9 Budget Parameters'!B34</f>
        <v>6716</v>
      </c>
      <c r="C16" s="135">
        <f>'11 EXS 1-9 Budget Parameters'!C34</f>
        <v>13432</v>
      </c>
      <c r="D16" s="135">
        <f>'11 EXS 1-9 Budget Parameters'!D34</f>
        <v>20148</v>
      </c>
      <c r="E16" s="135">
        <f>'11 EXS 1-9 Budget Parameters'!E34</f>
        <v>26864</v>
      </c>
      <c r="F16" s="135">
        <f>'11 EXS 1-9 Budget Parameters'!F34</f>
        <v>33580</v>
      </c>
      <c r="G16" s="135">
        <f>'11 EXS 1-9 Budget Parameters'!G34</f>
        <v>40296</v>
      </c>
      <c r="H16" s="135">
        <f>'11 EXS 1-9 Budget Parameters'!H34</f>
        <v>47012</v>
      </c>
      <c r="I16" s="135">
        <f>'11 EXS 1-9 Budget Parameters'!I34</f>
        <v>53728</v>
      </c>
      <c r="J16" s="136">
        <f>'11 EXS 1-9 Budget Parameters'!J34</f>
        <v>60444</v>
      </c>
    </row>
    <row r="17" spans="1:10" x14ac:dyDescent="0.2">
      <c r="A17" s="125"/>
      <c r="B17" s="135"/>
      <c r="C17" s="135"/>
      <c r="D17" s="135"/>
      <c r="E17" s="135"/>
      <c r="F17" s="135"/>
      <c r="G17" s="135"/>
      <c r="H17" s="135"/>
      <c r="I17" s="135"/>
      <c r="J17" s="136"/>
    </row>
    <row r="18" spans="1:10" s="472" customFormat="1" ht="13.5" x14ac:dyDescent="0.25">
      <c r="A18" s="533" t="s">
        <v>627</v>
      </c>
      <c r="B18" s="533"/>
      <c r="C18" s="533"/>
      <c r="D18" s="533"/>
      <c r="E18" s="533"/>
      <c r="F18" s="533"/>
      <c r="G18" s="533"/>
      <c r="H18" s="533"/>
      <c r="I18" s="533"/>
      <c r="J18" s="533"/>
    </row>
    <row r="19" spans="1:10" s="472" customFormat="1" ht="13.5" x14ac:dyDescent="0.25">
      <c r="A19" s="469"/>
      <c r="B19" s="492"/>
      <c r="C19" s="492"/>
      <c r="D19" s="492"/>
      <c r="E19" s="492"/>
      <c r="F19" s="492"/>
      <c r="G19" s="492"/>
      <c r="H19" s="492"/>
      <c r="I19" s="492"/>
      <c r="J19" s="469"/>
    </row>
    <row r="20" spans="1:10" s="472" customFormat="1" ht="13.5" x14ac:dyDescent="0.25">
      <c r="A20" s="534" t="s">
        <v>628</v>
      </c>
      <c r="B20" s="534"/>
      <c r="C20" s="534"/>
      <c r="D20" s="534"/>
      <c r="E20" s="534"/>
      <c r="F20" s="534"/>
      <c r="G20" s="534"/>
      <c r="H20" s="534"/>
      <c r="I20" s="534"/>
      <c r="J20" s="534"/>
    </row>
    <row r="21" spans="1:10" s="472" customFormat="1" ht="13.5" x14ac:dyDescent="0.25">
      <c r="A21" s="491"/>
      <c r="B21" s="493"/>
      <c r="C21" s="493"/>
      <c r="D21" s="493"/>
      <c r="E21" s="493"/>
      <c r="F21" s="493"/>
      <c r="G21" s="493"/>
      <c r="H21" s="493"/>
      <c r="I21" s="493"/>
      <c r="J21" s="491"/>
    </row>
    <row r="22" spans="1:10" s="472" customFormat="1" ht="27" customHeight="1" x14ac:dyDescent="0.25">
      <c r="A22" s="532" t="s">
        <v>667</v>
      </c>
      <c r="B22" s="532"/>
      <c r="C22" s="532"/>
      <c r="D22" s="532"/>
      <c r="E22" s="532"/>
      <c r="F22" s="532"/>
      <c r="G22" s="532"/>
      <c r="H22" s="532"/>
      <c r="I22" s="532"/>
      <c r="J22" s="532"/>
    </row>
    <row r="23" spans="1:10" s="472" customFormat="1" ht="13.5" x14ac:dyDescent="0.25">
      <c r="A23" s="33"/>
      <c r="B23" s="493"/>
      <c r="C23" s="493"/>
      <c r="D23" s="493"/>
      <c r="E23" s="493"/>
      <c r="F23" s="493"/>
      <c r="G23" s="493"/>
      <c r="H23" s="493"/>
      <c r="I23" s="493"/>
      <c r="J23" s="33"/>
    </row>
    <row r="24" spans="1:10" s="472" customFormat="1" ht="28.5" customHeight="1" x14ac:dyDescent="0.25">
      <c r="A24" s="532" t="s">
        <v>668</v>
      </c>
      <c r="B24" s="532"/>
      <c r="C24" s="532"/>
      <c r="D24" s="532"/>
      <c r="E24" s="532"/>
      <c r="F24" s="532"/>
      <c r="G24" s="532"/>
      <c r="H24" s="532"/>
      <c r="I24" s="532"/>
      <c r="J24" s="532"/>
    </row>
    <row r="25" spans="1:10" ht="12.6" customHeight="1" x14ac:dyDescent="0.2">
      <c r="A25" s="139"/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ht="12.6" customHeight="1" x14ac:dyDescent="0.2">
      <c r="A26" s="139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ht="12.6" customHeight="1" x14ac:dyDescent="0.2">
      <c r="A27" s="139"/>
      <c r="B27" s="135"/>
      <c r="C27" s="135"/>
      <c r="D27" s="135"/>
      <c r="E27" s="135"/>
      <c r="F27" s="135"/>
      <c r="G27" s="135"/>
      <c r="H27" s="135"/>
      <c r="I27" s="135"/>
      <c r="J27" s="136"/>
    </row>
    <row r="28" spans="1:10" ht="12.6" customHeight="1" x14ac:dyDescent="0.2">
      <c r="A28" s="139"/>
      <c r="B28" s="135"/>
      <c r="C28" s="135"/>
      <c r="D28" s="135"/>
      <c r="E28" s="135"/>
      <c r="F28" s="135"/>
      <c r="G28" s="135"/>
      <c r="H28" s="135"/>
      <c r="I28" s="135"/>
      <c r="J28" s="136"/>
    </row>
    <row r="29" spans="1:10" ht="12.6" customHeight="1" x14ac:dyDescent="0.2">
      <c r="A29" s="139"/>
      <c r="B29" s="135"/>
      <c r="C29" s="135"/>
      <c r="D29" s="135"/>
      <c r="E29" s="135"/>
      <c r="F29" s="135"/>
      <c r="G29" s="135"/>
      <c r="H29" s="135"/>
      <c r="I29" s="135"/>
      <c r="J29" s="136"/>
    </row>
    <row r="30" spans="1:10" ht="12.6" customHeight="1" x14ac:dyDescent="0.2">
      <c r="A30" s="125"/>
      <c r="B30" s="135"/>
      <c r="C30" s="135"/>
      <c r="D30" s="135"/>
      <c r="E30" s="135"/>
      <c r="F30" s="135"/>
      <c r="G30" s="135"/>
      <c r="H30" s="135"/>
      <c r="I30" s="135"/>
      <c r="J30" s="136"/>
    </row>
    <row r="31" spans="1:10" ht="12.6" customHeight="1" x14ac:dyDescent="0.2">
      <c r="A31" s="125"/>
      <c r="B31" s="135"/>
      <c r="C31" s="135"/>
      <c r="D31" s="135"/>
      <c r="E31" s="135"/>
      <c r="F31" s="135"/>
      <c r="G31" s="135"/>
      <c r="H31" s="135"/>
      <c r="I31" s="135"/>
      <c r="J31" s="136"/>
    </row>
    <row r="32" spans="1:10" s="124" customFormat="1" ht="12.6" customHeight="1" x14ac:dyDescent="0.2">
      <c r="A32" s="39"/>
      <c r="B32" s="142"/>
      <c r="C32" s="142"/>
      <c r="D32" s="142"/>
      <c r="E32" s="142"/>
      <c r="F32" s="142"/>
      <c r="G32" s="142"/>
      <c r="H32" s="142"/>
      <c r="I32" s="142"/>
      <c r="J32" s="142"/>
    </row>
    <row r="33" spans="1:10" s="124" customFormat="1" ht="12.6" customHeight="1" x14ac:dyDescent="0.2">
      <c r="A33" s="501" t="s">
        <v>632</v>
      </c>
      <c r="B33" s="501"/>
      <c r="C33" s="501"/>
      <c r="D33" s="501"/>
      <c r="E33" s="501"/>
      <c r="F33" s="501"/>
      <c r="G33" s="501"/>
      <c r="H33" s="501"/>
      <c r="I33" s="501"/>
      <c r="J33" s="501"/>
    </row>
    <row r="34" spans="1:10" x14ac:dyDescent="0.2">
      <c r="A34" s="125" t="s">
        <v>81</v>
      </c>
      <c r="B34" s="126">
        <f>'11 EXS 1-9 Budget Parameters'!B60</f>
        <v>125000</v>
      </c>
      <c r="C34" s="126">
        <f>'11 EXS 1-9 Budget Parameters'!C60</f>
        <v>125000</v>
      </c>
      <c r="D34" s="126">
        <f>'11 EXS 1-9 Budget Parameters'!D60</f>
        <v>125000</v>
      </c>
      <c r="E34" s="126">
        <f>'11 EXS 1-9 Budget Parameters'!E60</f>
        <v>150000</v>
      </c>
      <c r="F34" s="126">
        <f>'11 EXS 1-9 Budget Parameters'!F60</f>
        <v>150000</v>
      </c>
      <c r="G34" s="126">
        <f>'11 EXS 1-9 Budget Parameters'!G60</f>
        <v>150000</v>
      </c>
      <c r="H34" s="126">
        <f>'11 EXS 1-9 Budget Parameters'!H60</f>
        <v>150000</v>
      </c>
      <c r="I34" s="126">
        <f>'11 EXS 1-9 Budget Parameters'!I60</f>
        <v>150000</v>
      </c>
      <c r="J34" s="82">
        <f>'11 EXS 1-9 Budget Parameters'!J60</f>
        <v>150000</v>
      </c>
    </row>
    <row r="35" spans="1:10" x14ac:dyDescent="0.2">
      <c r="A35" s="125" t="s">
        <v>82</v>
      </c>
      <c r="B35" s="126">
        <f>'11 EXS 1-9 Budget Parameters'!B61</f>
        <v>0</v>
      </c>
      <c r="C35" s="126">
        <f>'11 EXS 1-9 Budget Parameters'!C61</f>
        <v>0</v>
      </c>
      <c r="D35" s="126">
        <f>'11 EXS 1-9 Budget Parameters'!D61</f>
        <v>0</v>
      </c>
      <c r="E35" s="126">
        <f>'11 EXS 1-9 Budget Parameters'!E61</f>
        <v>0</v>
      </c>
      <c r="F35" s="126">
        <f>'11 EXS 1-9 Budget Parameters'!F61</f>
        <v>0</v>
      </c>
      <c r="G35" s="126">
        <f>'11 EXS 1-9 Budget Parameters'!G61</f>
        <v>0</v>
      </c>
      <c r="H35" s="126">
        <f>'11 EXS 1-9 Budget Parameters'!H61</f>
        <v>125000</v>
      </c>
      <c r="I35" s="126">
        <f>'11 EXS 1-9 Budget Parameters'!I61</f>
        <v>125000</v>
      </c>
      <c r="J35" s="82">
        <f>'11 EXS 1-9 Budget Parameters'!J61</f>
        <v>125000</v>
      </c>
    </row>
    <row r="36" spans="1:10" x14ac:dyDescent="0.2">
      <c r="A36" s="125" t="s">
        <v>84</v>
      </c>
      <c r="B36" s="126">
        <f>'11 EXS 1-9 Budget Parameters'!B62</f>
        <v>15000</v>
      </c>
      <c r="C36" s="126">
        <f>'11 EXS 1-9 Budget Parameters'!C62</f>
        <v>15000</v>
      </c>
      <c r="D36" s="126">
        <f>'11 EXS 1-9 Budget Parameters'!D62</f>
        <v>15000</v>
      </c>
      <c r="E36" s="126">
        <f>'11 EXS 1-9 Budget Parameters'!E62</f>
        <v>15000</v>
      </c>
      <c r="F36" s="126">
        <f>'11 EXS 1-9 Budget Parameters'!F62</f>
        <v>15000</v>
      </c>
      <c r="G36" s="126">
        <f>'11 EXS 1-9 Budget Parameters'!G62</f>
        <v>15000</v>
      </c>
      <c r="H36" s="126">
        <f>'11 EXS 1-9 Budget Parameters'!H62</f>
        <v>15000</v>
      </c>
      <c r="I36" s="126">
        <f>'11 EXS 1-9 Budget Parameters'!I62</f>
        <v>15000</v>
      </c>
      <c r="J36" s="82">
        <f>'11 EXS 1-9 Budget Parameters'!J62</f>
        <v>15000</v>
      </c>
    </row>
    <row r="37" spans="1:10" x14ac:dyDescent="0.2">
      <c r="A37" s="125" t="s">
        <v>85</v>
      </c>
      <c r="B37" s="126">
        <f>'11 EXS 1-9 Budget Parameters'!B63</f>
        <v>0</v>
      </c>
      <c r="C37" s="126">
        <f>'11 EXS 1-9 Budget Parameters'!C63</f>
        <v>0</v>
      </c>
      <c r="D37" s="126">
        <f>'11 EXS 1-9 Budget Parameters'!D63</f>
        <v>0</v>
      </c>
      <c r="E37" s="126">
        <f>'11 EXS 1-9 Budget Parameters'!E63</f>
        <v>0</v>
      </c>
      <c r="F37" s="126">
        <f>'11 EXS 1-9 Budget Parameters'!F63</f>
        <v>0</v>
      </c>
      <c r="G37" s="126">
        <f>'11 EXS 1-9 Budget Parameters'!G63</f>
        <v>0</v>
      </c>
      <c r="H37" s="126">
        <f>'11 EXS 1-9 Budget Parameters'!H63</f>
        <v>15000</v>
      </c>
      <c r="I37" s="126">
        <f>'11 EXS 1-9 Budget Parameters'!I63</f>
        <v>15000</v>
      </c>
      <c r="J37" s="82">
        <f>'11 EXS 1-9 Budget Parameters'!J63</f>
        <v>15000</v>
      </c>
    </row>
    <row r="38" spans="1:10" x14ac:dyDescent="0.2">
      <c r="A38" s="125" t="s">
        <v>432</v>
      </c>
      <c r="B38" s="126">
        <f>ROUND('11 EXS 1-9 Budget Parameters'!B64*'11 EXS 1-9 Budget Parameters'!B65,0)</f>
        <v>7000</v>
      </c>
      <c r="C38" s="126">
        <f>ROUND('11 EXS 1-9 Budget Parameters'!C64*'11 EXS 1-9 Budget Parameters'!C65,0)</f>
        <v>7000</v>
      </c>
      <c r="D38" s="126">
        <f>ROUND('11 EXS 1-9 Budget Parameters'!D64*'11 EXS 1-9 Budget Parameters'!D65,0)</f>
        <v>7000</v>
      </c>
      <c r="E38" s="126">
        <f>ROUND('11 EXS 1-9 Budget Parameters'!E64*'11 EXS 1-9 Budget Parameters'!E65,0)</f>
        <v>10500</v>
      </c>
      <c r="F38" s="126">
        <f>ROUND('11 EXS 1-9 Budget Parameters'!F64*'11 EXS 1-9 Budget Parameters'!F65,0)</f>
        <v>10500</v>
      </c>
      <c r="G38" s="126">
        <f>ROUND('11 EXS 1-9 Budget Parameters'!G64*'11 EXS 1-9 Budget Parameters'!G65,0)</f>
        <v>10500</v>
      </c>
      <c r="H38" s="126">
        <f>ROUND('11 EXS 1-9 Budget Parameters'!H64*'11 EXS 1-9 Budget Parameters'!H65,0)</f>
        <v>14000</v>
      </c>
      <c r="I38" s="126">
        <f>ROUND('11 EXS 1-9 Budget Parameters'!I64*'11 EXS 1-9 Budget Parameters'!I65,0)</f>
        <v>17500</v>
      </c>
      <c r="J38" s="82">
        <f>ROUND('11 EXS 1-9 Budget Parameters'!J64*'11 EXS 1-9 Budget Parameters'!J65,0)</f>
        <v>17500</v>
      </c>
    </row>
    <row r="39" spans="1:10" x14ac:dyDescent="0.2">
      <c r="A39" s="125" t="s">
        <v>33</v>
      </c>
      <c r="B39" s="126">
        <f>ROUND('11 EXS 1-9 Budget Parameters'!B66*'11 EXS 1-9 Budget Parameters'!B67,0)</f>
        <v>260000</v>
      </c>
      <c r="C39" s="126">
        <f>ROUND('11 EXS 1-9 Budget Parameters'!C66*'11 EXS 1-9 Budget Parameters'!C67,0)</f>
        <v>260000</v>
      </c>
      <c r="D39" s="126">
        <f>ROUND('11 EXS 1-9 Budget Parameters'!D66*'11 EXS 1-9 Budget Parameters'!D67,0)</f>
        <v>260000</v>
      </c>
      <c r="E39" s="126">
        <f>ROUND('11 EXS 1-9 Budget Parameters'!E66*'11 EXS 1-9 Budget Parameters'!E67,0)</f>
        <v>260000</v>
      </c>
      <c r="F39" s="126">
        <f>ROUND('11 EXS 1-9 Budget Parameters'!F66*'11 EXS 1-9 Budget Parameters'!F67,0)</f>
        <v>260000</v>
      </c>
      <c r="G39" s="126">
        <f>ROUND('11 EXS 1-9 Budget Parameters'!G66*'11 EXS 1-9 Budget Parameters'!G67,0)</f>
        <v>260000</v>
      </c>
      <c r="H39" s="126">
        <f>ROUND('11 EXS 1-9 Budget Parameters'!H66*'11 EXS 1-9 Budget Parameters'!H67,0)</f>
        <v>260000</v>
      </c>
      <c r="I39" s="126">
        <f>ROUND('11 EXS 1-9 Budget Parameters'!I66*'11 EXS 1-9 Budget Parameters'!I67,0)</f>
        <v>260000</v>
      </c>
      <c r="J39" s="82">
        <f>ROUND('11 EXS 1-9 Budget Parameters'!J66*'11 EXS 1-9 Budget Parameters'!J67,0)</f>
        <v>260000</v>
      </c>
    </row>
    <row r="40" spans="1:10" x14ac:dyDescent="0.2">
      <c r="A40" s="125" t="s">
        <v>35</v>
      </c>
      <c r="B40" s="126">
        <f>ROUND('11 EXS 1-9 Budget Parameters'!B68*'11 EXS 1-9 Budget Parameters'!B69,0)</f>
        <v>0</v>
      </c>
      <c r="C40" s="126">
        <f>ROUND('11 EXS 1-9 Budget Parameters'!C68*'11 EXS 1-9 Budget Parameters'!C69,0)</f>
        <v>0</v>
      </c>
      <c r="D40" s="126">
        <f>ROUND('11 EXS 1-9 Budget Parameters'!D68*'11 EXS 1-9 Budget Parameters'!D69,0)</f>
        <v>0</v>
      </c>
      <c r="E40" s="126">
        <f>ROUND('11 EXS 1-9 Budget Parameters'!E68*'11 EXS 1-9 Budget Parameters'!E69,0)</f>
        <v>80000</v>
      </c>
      <c r="F40" s="126">
        <f>ROUND('11 EXS 1-9 Budget Parameters'!F68*'11 EXS 1-9 Budget Parameters'!F69,0)</f>
        <v>80000</v>
      </c>
      <c r="G40" s="126">
        <f>ROUND('11 EXS 1-9 Budget Parameters'!G68*'11 EXS 1-9 Budget Parameters'!G69,0)</f>
        <v>80000</v>
      </c>
      <c r="H40" s="126">
        <f>ROUND('11 EXS 1-9 Budget Parameters'!H68*'11 EXS 1-9 Budget Parameters'!H69,0)</f>
        <v>0</v>
      </c>
      <c r="I40" s="126">
        <f>ROUND('11 EXS 1-9 Budget Parameters'!I68*'11 EXS 1-9 Budget Parameters'!I69,0)</f>
        <v>0</v>
      </c>
      <c r="J40" s="82">
        <f>ROUND('11 EXS 1-9 Budget Parameters'!J68*'11 EXS 1-9 Budget Parameters'!J69,0)</f>
        <v>0</v>
      </c>
    </row>
    <row r="41" spans="1:10" x14ac:dyDescent="0.2">
      <c r="A41" s="125" t="s">
        <v>37</v>
      </c>
      <c r="B41" s="126">
        <f>ROUND('11 EXS 1-9 Budget Parameters'!B70*'11 EXS 1-9 Budget Parameters'!B71,0)</f>
        <v>0</v>
      </c>
      <c r="C41" s="126">
        <f>ROUND('11 EXS 1-9 Budget Parameters'!C70*'11 EXS 1-9 Budget Parameters'!C71,0)</f>
        <v>0</v>
      </c>
      <c r="D41" s="126">
        <f>ROUND('11 EXS 1-9 Budget Parameters'!D70*'11 EXS 1-9 Budget Parameters'!D71,0)</f>
        <v>0</v>
      </c>
      <c r="E41" s="126">
        <f>ROUND('11 EXS 1-9 Budget Parameters'!E70*'11 EXS 1-9 Budget Parameters'!E71,0)</f>
        <v>0</v>
      </c>
      <c r="F41" s="126">
        <f>ROUND('11 EXS 1-9 Budget Parameters'!F70*'11 EXS 1-9 Budget Parameters'!F71,0)</f>
        <v>0</v>
      </c>
      <c r="G41" s="126">
        <f>ROUND('11 EXS 1-9 Budget Parameters'!G70*'11 EXS 1-9 Budget Parameters'!G71,0)</f>
        <v>0</v>
      </c>
      <c r="H41" s="126">
        <f>ROUND('11 EXS 1-9 Budget Parameters'!H70*'11 EXS 1-9 Budget Parameters'!H71,0)</f>
        <v>130000</v>
      </c>
      <c r="I41" s="126">
        <f>ROUND('11 EXS 1-9 Budget Parameters'!I70*'11 EXS 1-9 Budget Parameters'!I71,0)</f>
        <v>130000</v>
      </c>
      <c r="J41" s="82">
        <f>ROUND('11 EXS 1-9 Budget Parameters'!J70*'11 EXS 1-9 Budget Parameters'!J71,0)</f>
        <v>130000</v>
      </c>
    </row>
    <row r="42" spans="1:10" x14ac:dyDescent="0.2">
      <c r="A42" s="125" t="s">
        <v>42</v>
      </c>
      <c r="B42" s="126">
        <f>ROUND('11 EXS 1-9 Budget Parameters'!B72*'11 EXS 1-9 Budget Parameters'!B73,0)</f>
        <v>50000</v>
      </c>
      <c r="C42" s="126">
        <f>ROUND('11 EXS 1-9 Budget Parameters'!C72*'11 EXS 1-9 Budget Parameters'!C73,0)</f>
        <v>50000</v>
      </c>
      <c r="D42" s="126">
        <f>ROUND('11 EXS 1-9 Budget Parameters'!D72*'11 EXS 1-9 Budget Parameters'!D73,0)</f>
        <v>50000</v>
      </c>
      <c r="E42" s="126">
        <f>ROUND('11 EXS 1-9 Budget Parameters'!E72*'11 EXS 1-9 Budget Parameters'!E73,0)</f>
        <v>0</v>
      </c>
      <c r="F42" s="126">
        <f>ROUND('11 EXS 1-9 Budget Parameters'!F72*'11 EXS 1-9 Budget Parameters'!F73,0)</f>
        <v>0</v>
      </c>
      <c r="G42" s="126">
        <f>ROUND('11 EXS 1-9 Budget Parameters'!G72*'11 EXS 1-9 Budget Parameters'!G73,0)</f>
        <v>0</v>
      </c>
      <c r="H42" s="126">
        <f>ROUND('11 EXS 1-9 Budget Parameters'!H72*'11 EXS 1-9 Budget Parameters'!H73,0)</f>
        <v>0</v>
      </c>
      <c r="I42" s="126">
        <f>ROUND('11 EXS 1-9 Budget Parameters'!I72*'11 EXS 1-9 Budget Parameters'!I73,0)</f>
        <v>0</v>
      </c>
      <c r="J42" s="82">
        <f>ROUND('11 EXS 1-9 Budget Parameters'!J72*'11 EXS 1-9 Budget Parameters'!J73,0)</f>
        <v>0</v>
      </c>
    </row>
    <row r="43" spans="1:10" x14ac:dyDescent="0.2">
      <c r="A43" s="125" t="s">
        <v>664</v>
      </c>
      <c r="B43" s="126">
        <f>ROUND('11 EXS 1-9 Budget Parameters'!B74*'11 EXS 1-9 Budget Parameters'!B75,0)</f>
        <v>0</v>
      </c>
      <c r="C43" s="126">
        <f>ROUND('11 EXS 1-9 Budget Parameters'!C74*'11 EXS 1-9 Budget Parameters'!C75,0)</f>
        <v>0</v>
      </c>
      <c r="D43" s="126">
        <f>ROUND('11 EXS 1-9 Budget Parameters'!D74*'11 EXS 1-9 Budget Parameters'!D75,0)</f>
        <v>0</v>
      </c>
      <c r="E43" s="126">
        <f>ROUND('11 EXS 1-9 Budget Parameters'!E74*'11 EXS 1-9 Budget Parameters'!E75,0)</f>
        <v>150000</v>
      </c>
      <c r="F43" s="126">
        <f>ROUND('11 EXS 1-9 Budget Parameters'!F74*'11 EXS 1-9 Budget Parameters'!F75,0)</f>
        <v>150000</v>
      </c>
      <c r="G43" s="126">
        <f>ROUND('11 EXS 1-9 Budget Parameters'!G74*'11 EXS 1-9 Budget Parameters'!G75,0)</f>
        <v>150000</v>
      </c>
      <c r="H43" s="126">
        <f>ROUND('11 EXS 1-9 Budget Parameters'!H74*'11 EXS 1-9 Budget Parameters'!H75,0)</f>
        <v>225000</v>
      </c>
      <c r="I43" s="126">
        <f>ROUND('11 EXS 1-9 Budget Parameters'!I74*'11 EXS 1-9 Budget Parameters'!I75,0)</f>
        <v>225000</v>
      </c>
      <c r="J43" s="82">
        <f>ROUND('11 EXS 1-9 Budget Parameters'!J74*'11 EXS 1-9 Budget Parameters'!J75,0)</f>
        <v>225000</v>
      </c>
    </row>
    <row r="44" spans="1:10" x14ac:dyDescent="0.2">
      <c r="A44" s="125"/>
      <c r="B44" s="126"/>
      <c r="C44" s="126"/>
      <c r="D44" s="126"/>
      <c r="E44" s="126"/>
      <c r="F44" s="126"/>
      <c r="G44" s="126"/>
      <c r="H44" s="126"/>
      <c r="I44" s="126"/>
      <c r="J44" s="82"/>
    </row>
    <row r="45" spans="1:10" x14ac:dyDescent="0.2">
      <c r="A45" s="125" t="s">
        <v>44</v>
      </c>
      <c r="B45" s="126">
        <f>'11 EXS 1-9 Budget Parameters'!B78</f>
        <v>10000</v>
      </c>
      <c r="C45" s="126">
        <f>'11 EXS 1-9 Budget Parameters'!C78</f>
        <v>10000</v>
      </c>
      <c r="D45" s="126">
        <f>'11 EXS 1-9 Budget Parameters'!D78</f>
        <v>10000</v>
      </c>
      <c r="E45" s="126">
        <f>'11 EXS 1-9 Budget Parameters'!E78</f>
        <v>10000</v>
      </c>
      <c r="F45" s="126">
        <f>'11 EXS 1-9 Budget Parameters'!F78</f>
        <v>10000</v>
      </c>
      <c r="G45" s="126">
        <f>'11 EXS 1-9 Budget Parameters'!G78</f>
        <v>10000</v>
      </c>
      <c r="H45" s="126">
        <f>'11 EXS 1-9 Budget Parameters'!H78</f>
        <v>10000</v>
      </c>
      <c r="I45" s="126">
        <f>'11 EXS 1-9 Budget Parameters'!I78</f>
        <v>10000</v>
      </c>
      <c r="J45" s="82">
        <f>'11 EXS 1-9 Budget Parameters'!J78</f>
        <v>10000</v>
      </c>
    </row>
    <row r="46" spans="1:10" x14ac:dyDescent="0.2">
      <c r="A46" s="125" t="s">
        <v>45</v>
      </c>
      <c r="B46" s="126">
        <f>ROUND('11 EXS 1-9 Budget Parameters'!B79*'11 EXS 1-9 Budget Parameters'!B80,0)</f>
        <v>2250</v>
      </c>
      <c r="C46" s="126">
        <f>ROUND('11 EXS 1-9 Budget Parameters'!C79*'11 EXS 1-9 Budget Parameters'!C80,0)</f>
        <v>2250</v>
      </c>
      <c r="D46" s="126">
        <f>ROUND('11 EXS 1-9 Budget Parameters'!D79*'11 EXS 1-9 Budget Parameters'!D80,0)</f>
        <v>2250</v>
      </c>
      <c r="E46" s="126">
        <f>ROUND('11 EXS 1-9 Budget Parameters'!E79*'11 EXS 1-9 Budget Parameters'!E80,0)</f>
        <v>2550</v>
      </c>
      <c r="F46" s="126">
        <f>ROUND('11 EXS 1-9 Budget Parameters'!F79*'11 EXS 1-9 Budget Parameters'!F80,0)</f>
        <v>2550</v>
      </c>
      <c r="G46" s="126">
        <f>ROUND('11 EXS 1-9 Budget Parameters'!G79*'11 EXS 1-9 Budget Parameters'!G80,0)</f>
        <v>2550</v>
      </c>
      <c r="H46" s="126">
        <f>ROUND('11 EXS 1-9 Budget Parameters'!H79*'11 EXS 1-9 Budget Parameters'!H80,0)</f>
        <v>3000</v>
      </c>
      <c r="I46" s="126">
        <f>ROUND('11 EXS 1-9 Budget Parameters'!I79*'11 EXS 1-9 Budget Parameters'!I80,0)</f>
        <v>3000</v>
      </c>
      <c r="J46" s="82">
        <f>ROUND('11 EXS 1-9 Budget Parameters'!J79*'11 EXS 1-9 Budget Parameters'!J80,0)</f>
        <v>3000</v>
      </c>
    </row>
    <row r="47" spans="1:10" x14ac:dyDescent="0.2">
      <c r="A47" s="127" t="s">
        <v>434</v>
      </c>
      <c r="B47" s="126">
        <f>ROUND('11 EXS 1-9 Budget Parameters'!B81*'11 EXS 1-9 Budget Parameters'!B82,0)</f>
        <v>4000</v>
      </c>
      <c r="C47" s="126">
        <f>ROUND('11 EXS 1-9 Budget Parameters'!C81*'11 EXS 1-9 Budget Parameters'!C82,0)</f>
        <v>4000</v>
      </c>
      <c r="D47" s="126">
        <f>ROUND('11 EXS 1-9 Budget Parameters'!D81*'11 EXS 1-9 Budget Parameters'!D82,0)</f>
        <v>4000</v>
      </c>
      <c r="E47" s="126">
        <f>ROUND('11 EXS 1-9 Budget Parameters'!E81*'11 EXS 1-9 Budget Parameters'!E82,0)</f>
        <v>6000</v>
      </c>
      <c r="F47" s="126">
        <f>ROUND('11 EXS 1-9 Budget Parameters'!F81*'11 EXS 1-9 Budget Parameters'!F82,0)</f>
        <v>6000</v>
      </c>
      <c r="G47" s="126">
        <f>ROUND('11 EXS 1-9 Budget Parameters'!G81*'11 EXS 1-9 Budget Parameters'!G82,0)</f>
        <v>6000</v>
      </c>
      <c r="H47" s="126">
        <f>ROUND('11 EXS 1-9 Budget Parameters'!H81*'11 EXS 1-9 Budget Parameters'!H82,0)</f>
        <v>6000</v>
      </c>
      <c r="I47" s="126">
        <f>ROUND('11 EXS 1-9 Budget Parameters'!I81*'11 EXS 1-9 Budget Parameters'!I82,0)</f>
        <v>6000</v>
      </c>
      <c r="J47" s="82">
        <f>ROUND('11 EXS 1-9 Budget Parameters'!J81*'11 EXS 1-9 Budget Parameters'!J82,0)</f>
        <v>6000</v>
      </c>
    </row>
    <row r="48" spans="1:10" x14ac:dyDescent="0.2">
      <c r="A48" s="154">
        <f>'11 EXS 1-9 Budget Parameters'!A86</f>
        <v>0</v>
      </c>
      <c r="B48" s="490">
        <f>'11 EXS 1-9 Budget Parameters'!B86</f>
        <v>0</v>
      </c>
      <c r="C48" s="490">
        <f>'11 EXS 1-9 Budget Parameters'!C86</f>
        <v>0</v>
      </c>
      <c r="D48" s="490">
        <f>'11 EXS 1-9 Budget Parameters'!D86</f>
        <v>0</v>
      </c>
      <c r="E48" s="490">
        <f>'11 EXS 1-9 Budget Parameters'!E86</f>
        <v>0</v>
      </c>
      <c r="F48" s="490">
        <f>'11 EXS 1-9 Budget Parameters'!F86</f>
        <v>0</v>
      </c>
      <c r="G48" s="490">
        <f>'11 EXS 1-9 Budget Parameters'!G86</f>
        <v>0</v>
      </c>
      <c r="H48" s="490">
        <f>'11 EXS 1-9 Budget Parameters'!H86</f>
        <v>0</v>
      </c>
      <c r="I48" s="490">
        <f>'11 EXS 1-9 Budget Parameters'!I86</f>
        <v>0</v>
      </c>
      <c r="J48" s="490">
        <f>'11 EXS 1-9 Budget Parameters'!J86</f>
        <v>0</v>
      </c>
    </row>
    <row r="49" spans="1:10" x14ac:dyDescent="0.2">
      <c r="A49" s="154">
        <f>'11 EXS 1-9 Budget Parameters'!A87</f>
        <v>0</v>
      </c>
      <c r="B49" s="490">
        <f>'11 EXS 1-9 Budget Parameters'!B87</f>
        <v>0</v>
      </c>
      <c r="C49" s="490">
        <f>'11 EXS 1-9 Budget Parameters'!C87</f>
        <v>0</v>
      </c>
      <c r="D49" s="490">
        <f>'11 EXS 1-9 Budget Parameters'!D87</f>
        <v>0</v>
      </c>
      <c r="E49" s="490">
        <f>'11 EXS 1-9 Budget Parameters'!E87</f>
        <v>0</v>
      </c>
      <c r="F49" s="490">
        <f>'11 EXS 1-9 Budget Parameters'!F87</f>
        <v>0</v>
      </c>
      <c r="G49" s="490">
        <f>'11 EXS 1-9 Budget Parameters'!G87</f>
        <v>0</v>
      </c>
      <c r="H49" s="490">
        <f>'11 EXS 1-9 Budget Parameters'!H87</f>
        <v>0</v>
      </c>
      <c r="I49" s="490">
        <f>'11 EXS 1-9 Budget Parameters'!I87</f>
        <v>0</v>
      </c>
      <c r="J49" s="490">
        <f>'11 EXS 1-9 Budget Parameters'!J87</f>
        <v>0</v>
      </c>
    </row>
    <row r="50" spans="1:10" x14ac:dyDescent="0.2">
      <c r="A50" s="154">
        <f>'11 EXS 1-9 Budget Parameters'!A88</f>
        <v>0</v>
      </c>
      <c r="B50" s="490">
        <f>'11 EXS 1-9 Budget Parameters'!B88</f>
        <v>0</v>
      </c>
      <c r="C50" s="490">
        <f>'11 EXS 1-9 Budget Parameters'!C88</f>
        <v>0</v>
      </c>
      <c r="D50" s="490">
        <f>'11 EXS 1-9 Budget Parameters'!D88</f>
        <v>0</v>
      </c>
      <c r="E50" s="490">
        <f>'11 EXS 1-9 Budget Parameters'!E88</f>
        <v>0</v>
      </c>
      <c r="F50" s="490">
        <f>'11 EXS 1-9 Budget Parameters'!F88</f>
        <v>0</v>
      </c>
      <c r="G50" s="490">
        <f>'11 EXS 1-9 Budget Parameters'!G88</f>
        <v>0</v>
      </c>
      <c r="H50" s="490">
        <f>'11 EXS 1-9 Budget Parameters'!H88</f>
        <v>0</v>
      </c>
      <c r="I50" s="490">
        <f>'11 EXS 1-9 Budget Parameters'!I88</f>
        <v>0</v>
      </c>
      <c r="J50" s="490">
        <f>'11 EXS 1-9 Budget Parameters'!J88</f>
        <v>0</v>
      </c>
    </row>
    <row r="51" spans="1:10" x14ac:dyDescent="0.2">
      <c r="A51" s="154">
        <f>'11 EXS 1-9 Budget Parameters'!A89</f>
        <v>0</v>
      </c>
      <c r="B51" s="490">
        <f>'11 EXS 1-9 Budget Parameters'!B89</f>
        <v>0</v>
      </c>
      <c r="C51" s="490">
        <f>'11 EXS 1-9 Budget Parameters'!C89</f>
        <v>0</v>
      </c>
      <c r="D51" s="490">
        <f>'11 EXS 1-9 Budget Parameters'!D89</f>
        <v>0</v>
      </c>
      <c r="E51" s="490">
        <f>'11 EXS 1-9 Budget Parameters'!E89</f>
        <v>0</v>
      </c>
      <c r="F51" s="490">
        <f>'11 EXS 1-9 Budget Parameters'!F89</f>
        <v>0</v>
      </c>
      <c r="G51" s="490">
        <f>'11 EXS 1-9 Budget Parameters'!G89</f>
        <v>0</v>
      </c>
      <c r="H51" s="490">
        <f>'11 EXS 1-9 Budget Parameters'!H89</f>
        <v>0</v>
      </c>
      <c r="I51" s="490">
        <f>'11 EXS 1-9 Budget Parameters'!I89</f>
        <v>0</v>
      </c>
      <c r="J51" s="490">
        <f>'11 EXS 1-9 Budget Parameters'!J89</f>
        <v>0</v>
      </c>
    </row>
    <row r="52" spans="1:10" x14ac:dyDescent="0.2">
      <c r="A52" s="154">
        <f>'11 EXS 1-9 Budget Parameters'!A90</f>
        <v>0</v>
      </c>
      <c r="B52" s="490">
        <f>'11 EXS 1-9 Budget Parameters'!B90</f>
        <v>0</v>
      </c>
      <c r="C52" s="490">
        <f>'11 EXS 1-9 Budget Parameters'!C90</f>
        <v>0</v>
      </c>
      <c r="D52" s="490">
        <f>'11 EXS 1-9 Budget Parameters'!D90</f>
        <v>0</v>
      </c>
      <c r="E52" s="490">
        <f>'11 EXS 1-9 Budget Parameters'!E90</f>
        <v>0</v>
      </c>
      <c r="F52" s="490">
        <f>'11 EXS 1-9 Budget Parameters'!F90</f>
        <v>0</v>
      </c>
      <c r="G52" s="490">
        <f>'11 EXS 1-9 Budget Parameters'!G90</f>
        <v>0</v>
      </c>
      <c r="H52" s="490">
        <f>'11 EXS 1-9 Budget Parameters'!H90</f>
        <v>0</v>
      </c>
      <c r="I52" s="490">
        <f>'11 EXS 1-9 Budget Parameters'!I90</f>
        <v>0</v>
      </c>
      <c r="J52" s="490">
        <f>'11 EXS 1-9 Budget Parameters'!J90</f>
        <v>0</v>
      </c>
    </row>
    <row r="53" spans="1:10" x14ac:dyDescent="0.2">
      <c r="A53" s="154">
        <f>'11 EXS 1-9 Budget Parameters'!A91</f>
        <v>0</v>
      </c>
      <c r="B53" s="490">
        <f>'11 EXS 1-9 Budget Parameters'!B91</f>
        <v>0</v>
      </c>
      <c r="C53" s="490">
        <f>'11 EXS 1-9 Budget Parameters'!C91</f>
        <v>0</v>
      </c>
      <c r="D53" s="490">
        <f>'11 EXS 1-9 Budget Parameters'!D91</f>
        <v>0</v>
      </c>
      <c r="E53" s="490">
        <f>'11 EXS 1-9 Budget Parameters'!E91</f>
        <v>0</v>
      </c>
      <c r="F53" s="490">
        <f>'11 EXS 1-9 Budget Parameters'!F91</f>
        <v>0</v>
      </c>
      <c r="G53" s="490">
        <f>'11 EXS 1-9 Budget Parameters'!G91</f>
        <v>0</v>
      </c>
      <c r="H53" s="490">
        <f>'11 EXS 1-9 Budget Parameters'!H91</f>
        <v>0</v>
      </c>
      <c r="I53" s="490">
        <f>'11 EXS 1-9 Budget Parameters'!I91</f>
        <v>0</v>
      </c>
      <c r="J53" s="490">
        <f>'11 EXS 1-9 Budget Parameters'!J91</f>
        <v>0</v>
      </c>
    </row>
    <row r="54" spans="1:10" x14ac:dyDescent="0.2">
      <c r="A54" s="154">
        <f>'11 EXS 1-9 Budget Parameters'!A92</f>
        <v>0</v>
      </c>
      <c r="B54" s="490">
        <f>'11 EXS 1-9 Budget Parameters'!B92</f>
        <v>0</v>
      </c>
      <c r="C54" s="490">
        <f>'11 EXS 1-9 Budget Parameters'!C92</f>
        <v>0</v>
      </c>
      <c r="D54" s="490">
        <f>'11 EXS 1-9 Budget Parameters'!D92</f>
        <v>0</v>
      </c>
      <c r="E54" s="490">
        <f>'11 EXS 1-9 Budget Parameters'!E92</f>
        <v>0</v>
      </c>
      <c r="F54" s="490">
        <f>'11 EXS 1-9 Budget Parameters'!F92</f>
        <v>0</v>
      </c>
      <c r="G54" s="490">
        <f>'11 EXS 1-9 Budget Parameters'!G92</f>
        <v>0</v>
      </c>
      <c r="H54" s="490">
        <f>'11 EXS 1-9 Budget Parameters'!H92</f>
        <v>0</v>
      </c>
      <c r="I54" s="490">
        <f>'11 EXS 1-9 Budget Parameters'!I92</f>
        <v>0</v>
      </c>
      <c r="J54" s="490">
        <f>'11 EXS 1-9 Budget Parameters'!J92</f>
        <v>0</v>
      </c>
    </row>
    <row r="55" spans="1:10" x14ac:dyDescent="0.2">
      <c r="A55" s="154">
        <f>'11 EXS 1-9 Budget Parameters'!A93</f>
        <v>0</v>
      </c>
      <c r="B55" s="490">
        <f>'11 EXS 1-9 Budget Parameters'!B93</f>
        <v>0</v>
      </c>
      <c r="C55" s="490">
        <f>'11 EXS 1-9 Budget Parameters'!C93</f>
        <v>0</v>
      </c>
      <c r="D55" s="490">
        <f>'11 EXS 1-9 Budget Parameters'!D93</f>
        <v>0</v>
      </c>
      <c r="E55" s="490">
        <f>'11 EXS 1-9 Budget Parameters'!E93</f>
        <v>0</v>
      </c>
      <c r="F55" s="490">
        <f>'11 EXS 1-9 Budget Parameters'!F93</f>
        <v>0</v>
      </c>
      <c r="G55" s="490">
        <f>'11 EXS 1-9 Budget Parameters'!G93</f>
        <v>0</v>
      </c>
      <c r="H55" s="490">
        <f>'11 EXS 1-9 Budget Parameters'!H93</f>
        <v>0</v>
      </c>
      <c r="I55" s="490">
        <f>'11 EXS 1-9 Budget Parameters'!I93</f>
        <v>0</v>
      </c>
      <c r="J55" s="490">
        <f>'11 EXS 1-9 Budget Parameters'!J93</f>
        <v>0</v>
      </c>
    </row>
    <row r="56" spans="1:10" x14ac:dyDescent="0.2">
      <c r="A56" s="125"/>
      <c r="B56" s="128"/>
      <c r="C56" s="128"/>
      <c r="D56" s="128"/>
      <c r="E56" s="128"/>
      <c r="F56" s="128"/>
      <c r="G56" s="128"/>
      <c r="H56" s="128"/>
      <c r="I56" s="128"/>
      <c r="J56" s="72"/>
    </row>
    <row r="57" spans="1:10" x14ac:dyDescent="0.2">
      <c r="A57" s="125"/>
      <c r="B57" s="128"/>
      <c r="C57" s="128"/>
      <c r="D57" s="128"/>
      <c r="E57" s="128"/>
      <c r="F57" s="128"/>
      <c r="G57" s="128"/>
      <c r="H57" s="128"/>
      <c r="I57" s="128"/>
      <c r="J57" s="72"/>
    </row>
    <row r="58" spans="1:10" x14ac:dyDescent="0.2">
      <c r="A58" s="38"/>
      <c r="B58" s="143"/>
      <c r="C58" s="38"/>
      <c r="D58" s="143"/>
      <c r="E58" s="38"/>
      <c r="F58" s="143"/>
      <c r="G58" s="38"/>
      <c r="H58" s="143"/>
      <c r="I58" s="38"/>
      <c r="J58" s="73"/>
    </row>
    <row r="59" spans="1:10" x14ac:dyDescent="0.2">
      <c r="A59" s="39" t="s">
        <v>86</v>
      </c>
      <c r="B59" s="144">
        <f>ROUND(SUM(B34:B57),0)</f>
        <v>473250</v>
      </c>
      <c r="C59" s="40">
        <f t="shared" ref="C59:J59" si="0">ROUND(SUM(C34:C57),0)</f>
        <v>473250</v>
      </c>
      <c r="D59" s="144">
        <f t="shared" si="0"/>
        <v>473250</v>
      </c>
      <c r="E59" s="40">
        <f t="shared" si="0"/>
        <v>684050</v>
      </c>
      <c r="F59" s="144">
        <f t="shared" si="0"/>
        <v>684050</v>
      </c>
      <c r="G59" s="40">
        <f t="shared" si="0"/>
        <v>684050</v>
      </c>
      <c r="H59" s="144">
        <f t="shared" si="0"/>
        <v>953000</v>
      </c>
      <c r="I59" s="40">
        <f t="shared" si="0"/>
        <v>956500</v>
      </c>
      <c r="J59" s="74">
        <f t="shared" si="0"/>
        <v>956500</v>
      </c>
    </row>
    <row r="60" spans="1:10" ht="13.5" thickBot="1" x14ac:dyDescent="0.25">
      <c r="A60" s="41"/>
      <c r="B60" s="145"/>
      <c r="C60" s="41"/>
      <c r="D60" s="145"/>
      <c r="E60" s="41"/>
      <c r="F60" s="145"/>
      <c r="G60" s="41"/>
      <c r="H60" s="145"/>
      <c r="I60" s="41"/>
      <c r="J60" s="75"/>
    </row>
    <row r="61" spans="1:10" s="124" customFormat="1" ht="13.5" thickTop="1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</row>
    <row r="62" spans="1:10" s="124" customFormat="1" ht="12.6" customHeight="1" x14ac:dyDescent="0.2">
      <c r="A62" s="499" t="s">
        <v>563</v>
      </c>
      <c r="B62" s="501"/>
      <c r="C62" s="501"/>
      <c r="D62" s="501"/>
      <c r="E62" s="501"/>
      <c r="F62" s="501"/>
      <c r="G62" s="501"/>
      <c r="H62" s="501"/>
      <c r="I62" s="501"/>
      <c r="J62" s="501"/>
    </row>
    <row r="63" spans="1:10" ht="13.5" customHeight="1" x14ac:dyDescent="0.2">
      <c r="A63" s="125" t="s">
        <v>81</v>
      </c>
      <c r="B63" s="126">
        <f>IFERROR(ROUND('11 EXS 1-9 Budget Parameters'!B106,0),"0")</f>
        <v>11710</v>
      </c>
      <c r="C63" s="126">
        <f>IFERROR(ROUND('11 EXS 1-9 Budget Parameters'!C106,0),"0")</f>
        <v>11710</v>
      </c>
      <c r="D63" s="126">
        <f>IFERROR(ROUND('11 EXS 1-9 Budget Parameters'!D106,0),"0")</f>
        <v>11710</v>
      </c>
      <c r="E63" s="126">
        <f>IFERROR(ROUND('11 EXS 1-9 Budget Parameters'!E106,0),"0")</f>
        <v>14052</v>
      </c>
      <c r="F63" s="126">
        <f>IFERROR(ROUND('11 EXS 1-9 Budget Parameters'!F106,0),"0")</f>
        <v>14052</v>
      </c>
      <c r="G63" s="126">
        <f>IFERROR(ROUND('11 EXS 1-9 Budget Parameters'!G106,0),"0")</f>
        <v>14052</v>
      </c>
      <c r="H63" s="126">
        <f>IFERROR(ROUND('11 EXS 1-9 Budget Parameters'!H106,0),"0")</f>
        <v>14052</v>
      </c>
      <c r="I63" s="126">
        <f>IFERROR(ROUND('11 EXS 1-9 Budget Parameters'!I106,0),"0")</f>
        <v>14052</v>
      </c>
      <c r="J63" s="82">
        <f>IFERROR(ROUND('11 EXS 1-9 Budget Parameters'!J106,0),"0")</f>
        <v>14159</v>
      </c>
    </row>
    <row r="64" spans="1:10" x14ac:dyDescent="0.2">
      <c r="A64" s="125" t="s">
        <v>82</v>
      </c>
      <c r="B64" s="126">
        <f>IFERROR(ROUND('11 EXS 1-9 Budget Parameters'!B114,0),"0")</f>
        <v>0</v>
      </c>
      <c r="C64" s="126">
        <f>IFERROR(ROUND('11 EXS 1-9 Budget Parameters'!C114,0),"0")</f>
        <v>0</v>
      </c>
      <c r="D64" s="126">
        <f>IFERROR(ROUND('11 EXS 1-9 Budget Parameters'!D114,0),"0")</f>
        <v>0</v>
      </c>
      <c r="E64" s="126">
        <f>IFERROR(ROUND('11 EXS 1-9 Budget Parameters'!E114,0),"0")</f>
        <v>0</v>
      </c>
      <c r="F64" s="126">
        <f>IFERROR(ROUND('11 EXS 1-9 Budget Parameters'!F114,0),"0")</f>
        <v>0</v>
      </c>
      <c r="G64" s="126">
        <f>IFERROR(ROUND('11 EXS 1-9 Budget Parameters'!G114,0),"0")</f>
        <v>0</v>
      </c>
      <c r="H64" s="126">
        <f>IFERROR(ROUND('11 EXS 1-9 Budget Parameters'!H114,0),"0")</f>
        <v>14052</v>
      </c>
      <c r="I64" s="126">
        <f>IFERROR(ROUND('11 EXS 1-9 Budget Parameters'!I114,0),"0")</f>
        <v>10800</v>
      </c>
      <c r="J64" s="82">
        <f>IFERROR(ROUND('11 EXS 1-9 Budget Parameters'!J114,0),"0")</f>
        <v>11710</v>
      </c>
    </row>
    <row r="65" spans="1:10" x14ac:dyDescent="0.2">
      <c r="A65" s="125" t="s">
        <v>84</v>
      </c>
      <c r="B65" s="126">
        <f>IFERROR(ROUND(B36/'11 EXS 1-9 Budget Parameters'!B115,0),"0")</f>
        <v>3000</v>
      </c>
      <c r="C65" s="126">
        <f>IFERROR(ROUND(C36/'11 EXS 1-9 Budget Parameters'!C115,0),"0")</f>
        <v>3000</v>
      </c>
      <c r="D65" s="126">
        <f>IFERROR(ROUND(D36/'11 EXS 1-9 Budget Parameters'!D115,0),"0")</f>
        <v>3000</v>
      </c>
      <c r="E65" s="126">
        <f>IFERROR(ROUND(E36/'11 EXS 1-9 Budget Parameters'!E115,0),"0")</f>
        <v>3000</v>
      </c>
      <c r="F65" s="126">
        <f>IFERROR(ROUND(F36/'11 EXS 1-9 Budget Parameters'!F115,0),"0")</f>
        <v>3000</v>
      </c>
      <c r="G65" s="126">
        <f>IFERROR(ROUND(G36/'11 EXS 1-9 Budget Parameters'!G115,0),"0")</f>
        <v>3000</v>
      </c>
      <c r="H65" s="126">
        <f>IFERROR(ROUND(H36/'11 EXS 1-9 Budget Parameters'!H115,0),"0")</f>
        <v>3000</v>
      </c>
      <c r="I65" s="126">
        <f>IFERROR(ROUND(I36/'11 EXS 1-9 Budget Parameters'!I115,0),"0")</f>
        <v>3000</v>
      </c>
      <c r="J65" s="82">
        <f>IFERROR(ROUND(J36/'11 EXS 1-9 Budget Parameters'!J115,0),"0")</f>
        <v>3000</v>
      </c>
    </row>
    <row r="66" spans="1:10" x14ac:dyDescent="0.2">
      <c r="A66" s="125" t="s">
        <v>85</v>
      </c>
      <c r="B66" s="126">
        <f>IFERROR(ROUND(B37/'11 EXS 1-9 Budget Parameters'!B116,0),"0")</f>
        <v>0</v>
      </c>
      <c r="C66" s="126">
        <f>IFERROR(ROUND(C37/'11 EXS 1-9 Budget Parameters'!C116,0),"0")</f>
        <v>0</v>
      </c>
      <c r="D66" s="126">
        <f>IFERROR(ROUND(D37/'11 EXS 1-9 Budget Parameters'!D116,0),"0")</f>
        <v>0</v>
      </c>
      <c r="E66" s="126">
        <f>IFERROR(ROUND(E37/'11 EXS 1-9 Budget Parameters'!E116,0),"0")</f>
        <v>0</v>
      </c>
      <c r="F66" s="126">
        <f>IFERROR(ROUND(F37/'11 EXS 1-9 Budget Parameters'!F116,0),"0")</f>
        <v>0</v>
      </c>
      <c r="G66" s="126">
        <f>IFERROR(ROUND(G37/'11 EXS 1-9 Budget Parameters'!G116,0),"0")</f>
        <v>0</v>
      </c>
      <c r="H66" s="126">
        <f>IFERROR(ROUND(H37/'11 EXS 1-9 Budget Parameters'!H116,0),"0")</f>
        <v>3000</v>
      </c>
      <c r="I66" s="126">
        <f>IFERROR(ROUND(I37/'11 EXS 1-9 Budget Parameters'!I116,0),"0")</f>
        <v>3000</v>
      </c>
      <c r="J66" s="82">
        <f>IFERROR(ROUND(J37/'11 EXS 1-9 Budget Parameters'!J116,0),"0")</f>
        <v>3000</v>
      </c>
    </row>
    <row r="67" spans="1:10" x14ac:dyDescent="0.2">
      <c r="A67" s="125" t="s">
        <v>432</v>
      </c>
      <c r="B67" s="126">
        <f>IFERROR(ROUND(B38/'11 EXS 1-9 Budget Parameters'!B117,0),"0")</f>
        <v>2333</v>
      </c>
      <c r="C67" s="126">
        <f>IFERROR(ROUND(C38/'11 EXS 1-9 Budget Parameters'!C117,0),"0")</f>
        <v>2333</v>
      </c>
      <c r="D67" s="126">
        <f>IFERROR(ROUND(D38/'11 EXS 1-9 Budget Parameters'!D117,0),"0")</f>
        <v>2333</v>
      </c>
      <c r="E67" s="126">
        <f>IFERROR(ROUND(E38/'11 EXS 1-9 Budget Parameters'!E117,0),"0")</f>
        <v>3500</v>
      </c>
      <c r="F67" s="126">
        <f>IFERROR(ROUND(F38/'11 EXS 1-9 Budget Parameters'!F117,0),"0")</f>
        <v>3500</v>
      </c>
      <c r="G67" s="126">
        <f>IFERROR(ROUND(G38/'11 EXS 1-9 Budget Parameters'!G117,0),"0")</f>
        <v>3500</v>
      </c>
      <c r="H67" s="126">
        <f>IFERROR(ROUND(H38/'11 EXS 1-9 Budget Parameters'!H117,0),"0")</f>
        <v>4667</v>
      </c>
      <c r="I67" s="126">
        <f>IFERROR(ROUND(I38/'11 EXS 1-9 Budget Parameters'!I117,0),"0")</f>
        <v>5833</v>
      </c>
      <c r="J67" s="82">
        <f>IFERROR(ROUND(J38/'11 EXS 1-9 Budget Parameters'!J117,0),"0")</f>
        <v>5833</v>
      </c>
    </row>
    <row r="68" spans="1:10" x14ac:dyDescent="0.2">
      <c r="A68" s="125" t="s">
        <v>33</v>
      </c>
      <c r="B68" s="146">
        <f>IFERROR(ROUND('10 EXS 1-9 Budgets'!B39/'11 EXS 1-9 Budget Parameters'!B119,0),"0")</f>
        <v>76471</v>
      </c>
      <c r="C68" s="146">
        <f>IFERROR(ROUND('10 EXS 1-9 Budgets'!C39/'11 EXS 1-9 Budget Parameters'!C119,0),"0")</f>
        <v>152941</v>
      </c>
      <c r="D68" s="146">
        <f>IFERROR(ROUND('10 EXS 1-9 Budgets'!D39/'11 EXS 1-9 Budget Parameters'!D119,0),"0")</f>
        <v>236364</v>
      </c>
      <c r="E68" s="146">
        <f>IFERROR(ROUND('10 EXS 1-9 Budgets'!E39/'11 EXS 1-9 Budget Parameters'!E119,0),"0")</f>
        <v>216667</v>
      </c>
      <c r="F68" s="146">
        <f>IFERROR(ROUND('10 EXS 1-9 Budgets'!F39/'11 EXS 1-9 Budget Parameters'!F119,0),"0")</f>
        <v>260000</v>
      </c>
      <c r="G68" s="146">
        <f>IFERROR(ROUND('10 EXS 1-9 Budgets'!G39/'11 EXS 1-9 Budget Parameters'!G119,0),"0")</f>
        <v>325000</v>
      </c>
      <c r="H68" s="146">
        <f>IFERROR(ROUND('10 EXS 1-9 Budgets'!H39/'11 EXS 1-9 Budget Parameters'!H119,0),"0")</f>
        <v>288889</v>
      </c>
      <c r="I68" s="146">
        <f>IFERROR(ROUND('10 EXS 1-9 Budgets'!I39/'11 EXS 1-9 Budget Parameters'!I119,0),"0")</f>
        <v>260000</v>
      </c>
      <c r="J68" s="147">
        <f>IFERROR(ROUND('10 EXS 1-9 Budgets'!J39/'11 EXS 1-9 Budget Parameters'!J119,0),"0")</f>
        <v>325000</v>
      </c>
    </row>
    <row r="69" spans="1:10" x14ac:dyDescent="0.2">
      <c r="A69" s="125" t="s">
        <v>35</v>
      </c>
      <c r="B69" s="148" t="str">
        <f>IFERROR(ROUND(B40/'11 EXS 1-9 Budget Parameters'!B120,0),"$0")</f>
        <v>$0</v>
      </c>
      <c r="C69" s="148" t="str">
        <f>IFERROR(ROUND(C40/'11 EXS 1-9 Budget Parameters'!C120,0),"$0")</f>
        <v>$0</v>
      </c>
      <c r="D69" s="148" t="str">
        <f>IFERROR(ROUND(D40/'11 EXS 1-9 Budget Parameters'!D120,0),"$0")</f>
        <v>$0</v>
      </c>
      <c r="E69" s="148">
        <f>IFERROR(ROUND(E40/'11 EXS 1-9 Budget Parameters'!E120,0),"$0")</f>
        <v>14035</v>
      </c>
      <c r="F69" s="148">
        <f>IFERROR(ROUND(F40/'11 EXS 1-9 Budget Parameters'!F120,0),"$0")</f>
        <v>17391</v>
      </c>
      <c r="G69" s="148">
        <f>IFERROR(ROUND(G40/'11 EXS 1-9 Budget Parameters'!G120,0),"$0")</f>
        <v>21053</v>
      </c>
      <c r="H69" s="148" t="str">
        <f>IFERROR(ROUND(H40/'11 EXS 1-9 Budget Parameters'!H120,0),"$0")</f>
        <v>$0</v>
      </c>
      <c r="I69" s="148" t="str">
        <f>IFERROR(ROUND(I40/'11 EXS 1-9 Budget Parameters'!I120,0),"$0")</f>
        <v>$0</v>
      </c>
      <c r="J69" s="149" t="str">
        <f>IFERROR(ROUND(J40/'11 EXS 1-9 Budget Parameters'!J120,0),"$0")</f>
        <v>$0</v>
      </c>
    </row>
    <row r="70" spans="1:10" x14ac:dyDescent="0.2">
      <c r="A70" s="125" t="s">
        <v>37</v>
      </c>
      <c r="B70" s="148" t="str">
        <f>IFERROR(ROUND(B41/'11 EXS 1-9 Budget Parameters'!B121,0),"$0")</f>
        <v>$0</v>
      </c>
      <c r="C70" s="148" t="str">
        <f>IFERROR(ROUND(C41/'11 EXS 1-9 Budget Parameters'!C121,0),"$0")</f>
        <v>$0</v>
      </c>
      <c r="D70" s="148" t="str">
        <f>IFERROR(ROUND(D41/'11 EXS 1-9 Budget Parameters'!D121,0),"$0")</f>
        <v>$0</v>
      </c>
      <c r="E70" s="148" t="str">
        <f>IFERROR(ROUND(E41/'11 EXS 1-9 Budget Parameters'!E121,0),"$0")</f>
        <v>$0</v>
      </c>
      <c r="F70" s="148" t="str">
        <f>IFERROR(ROUND(F41/'11 EXS 1-9 Budget Parameters'!F121,0),"$0")</f>
        <v>$0</v>
      </c>
      <c r="G70" s="148" t="str">
        <f>IFERROR(ROUND(G41/'11 EXS 1-9 Budget Parameters'!G121,0),"$0")</f>
        <v>$0</v>
      </c>
      <c r="H70" s="148">
        <f>IFERROR(ROUND(H41/'11 EXS 1-9 Budget Parameters'!H121,0),"$0")</f>
        <v>46429</v>
      </c>
      <c r="I70" s="148">
        <f>IFERROR(ROUND(I41/'11 EXS 1-9 Budget Parameters'!I121,0),"$0")</f>
        <v>68421</v>
      </c>
      <c r="J70" s="149">
        <f>IFERROR(ROUND(J41/'11 EXS 1-9 Budget Parameters'!J121,0),"$0")</f>
        <v>76471</v>
      </c>
    </row>
    <row r="71" spans="1:10" x14ac:dyDescent="0.2">
      <c r="A71" s="125" t="s">
        <v>42</v>
      </c>
      <c r="B71" s="126">
        <f>IFERROR(ROUND(B42/'11 EXS 1-9 Budget Parameters'!B122,0),"0")</f>
        <v>14706</v>
      </c>
      <c r="C71" s="126">
        <f>IFERROR(ROUND(C42/'11 EXS 1-9 Budget Parameters'!C122,0),"0")</f>
        <v>29412</v>
      </c>
      <c r="D71" s="126">
        <f>IFERROR(ROUND(D42/'11 EXS 1-9 Budget Parameters'!D122,0),"0")</f>
        <v>45455</v>
      </c>
      <c r="E71" s="126">
        <f>IFERROR(ROUND(E42/'11 EXS 1-9 Budget Parameters'!E122,0),"0")</f>
        <v>0</v>
      </c>
      <c r="F71" s="126">
        <f>IFERROR(ROUND(F42/'11 EXS 1-9 Budget Parameters'!F122,0),"0")</f>
        <v>0</v>
      </c>
      <c r="G71" s="126">
        <f>IFERROR(ROUND(G42/'11 EXS 1-9 Budget Parameters'!G122,0),"0")</f>
        <v>0</v>
      </c>
      <c r="H71" s="126">
        <f>IFERROR(ROUND(H42/'11 EXS 1-9 Budget Parameters'!H122,0),"0")</f>
        <v>0</v>
      </c>
      <c r="I71" s="126">
        <f>IFERROR(ROUND(I42/'11 EXS 1-9 Budget Parameters'!I122,0),"0")</f>
        <v>0</v>
      </c>
      <c r="J71" s="82">
        <f>IFERROR(ROUND(J42/'11 EXS 1-9 Budget Parameters'!J122,0),"0")</f>
        <v>0</v>
      </c>
    </row>
    <row r="72" spans="1:10" x14ac:dyDescent="0.2">
      <c r="A72" s="125" t="s">
        <v>664</v>
      </c>
      <c r="B72" s="150" t="str">
        <f>IFERROR(ROUND(B43/'11 EXS 1-9 Budget Parameters'!B123,0),"$0")</f>
        <v>$0</v>
      </c>
      <c r="C72" s="150" t="str">
        <f>IFERROR(ROUND(C43/'11 EXS 1-9 Budget Parameters'!C123,0),"$0")</f>
        <v>$0</v>
      </c>
      <c r="D72" s="150" t="str">
        <f>IFERROR(ROUND(D43/'11 EXS 1-9 Budget Parameters'!D123,0),"$0")</f>
        <v>$0</v>
      </c>
      <c r="E72" s="150">
        <f>IFERROR(ROUND(E43/'11 EXS 1-9 Budget Parameters'!E123,0),"$0")</f>
        <v>26316</v>
      </c>
      <c r="F72" s="150">
        <f>IFERROR(ROUND(F43/'11 EXS 1-9 Budget Parameters'!F123,0),"$0")</f>
        <v>32609</v>
      </c>
      <c r="G72" s="150">
        <f>IFERROR(ROUND(G43/'11 EXS 1-9 Budget Parameters'!G123,0),"$0")</f>
        <v>39474</v>
      </c>
      <c r="H72" s="150">
        <f>IFERROR(ROUND(H43/'11 EXS 1-9 Budget Parameters'!H123,0),"$0")</f>
        <v>80357</v>
      </c>
      <c r="I72" s="150">
        <f>IFERROR(ROUND(I43/'11 EXS 1-9 Budget Parameters'!I123,0),"$0")</f>
        <v>118421</v>
      </c>
      <c r="J72" s="150">
        <f>IFERROR(ROUND(J43/'11 EXS 1-9 Budget Parameters'!J123,0),"$0")</f>
        <v>132353</v>
      </c>
    </row>
    <row r="73" spans="1:10" x14ac:dyDescent="0.2">
      <c r="A73" s="125"/>
      <c r="B73" s="150"/>
      <c r="C73" s="150"/>
      <c r="D73" s="150"/>
      <c r="E73" s="150"/>
      <c r="F73" s="150"/>
      <c r="G73" s="150"/>
      <c r="H73" s="150"/>
      <c r="I73" s="150"/>
      <c r="J73" s="151"/>
    </row>
    <row r="74" spans="1:10" x14ac:dyDescent="0.2">
      <c r="A74" s="125" t="s">
        <v>44</v>
      </c>
      <c r="B74" s="126">
        <f>IFERROR(ROUND(B45/'11 EXS 1-9 Budget Parameters'!B127,0),"0")</f>
        <v>1000</v>
      </c>
      <c r="C74" s="126">
        <f>IFERROR(ROUND(C45/'11 EXS 1-9 Budget Parameters'!C127,0),"0")</f>
        <v>1000</v>
      </c>
      <c r="D74" s="126">
        <f>IFERROR(ROUND(D45/'11 EXS 1-9 Budget Parameters'!D127,0),"0")</f>
        <v>1000</v>
      </c>
      <c r="E74" s="126">
        <f>IFERROR(ROUND(E45/'11 EXS 1-9 Budget Parameters'!E127,0),"0")</f>
        <v>1000</v>
      </c>
      <c r="F74" s="126">
        <f>IFERROR(ROUND(F45/'11 EXS 1-9 Budget Parameters'!F127,0),"0")</f>
        <v>1000</v>
      </c>
      <c r="G74" s="126">
        <f>IFERROR(ROUND(G45/'11 EXS 1-9 Budget Parameters'!G127,0),"0")</f>
        <v>1000</v>
      </c>
      <c r="H74" s="126">
        <f>IFERROR(ROUND(H45/'11 EXS 1-9 Budget Parameters'!H127,0),"0")</f>
        <v>1000</v>
      </c>
      <c r="I74" s="126">
        <f>IFERROR(ROUND(I45/'11 EXS 1-9 Budget Parameters'!I127,0),"0")</f>
        <v>1000</v>
      </c>
      <c r="J74" s="82">
        <f>IFERROR(ROUND(J45/'11 EXS 1-9 Budget Parameters'!J127,0),"0")</f>
        <v>1000</v>
      </c>
    </row>
    <row r="75" spans="1:10" x14ac:dyDescent="0.2">
      <c r="A75" s="125" t="s">
        <v>45</v>
      </c>
      <c r="B75" s="126">
        <f>IFERROR(ROUND(B46/'11 EXS 1-9 Budget Parameters'!B128,0),"0")</f>
        <v>750</v>
      </c>
      <c r="C75" s="126">
        <f>IFERROR(ROUND(C46/'11 EXS 1-9 Budget Parameters'!C128,0),"0")</f>
        <v>750</v>
      </c>
      <c r="D75" s="126">
        <f>IFERROR(ROUND(D46/'11 EXS 1-9 Budget Parameters'!D128,0),"0")</f>
        <v>750</v>
      </c>
      <c r="E75" s="126">
        <f>IFERROR(ROUND(E46/'11 EXS 1-9 Budget Parameters'!E128,0),"0")</f>
        <v>850</v>
      </c>
      <c r="F75" s="126">
        <f>IFERROR(ROUND(F46/'11 EXS 1-9 Budget Parameters'!F128,0),"0")</f>
        <v>850</v>
      </c>
      <c r="G75" s="126">
        <f>IFERROR(ROUND(G46/'11 EXS 1-9 Budget Parameters'!G128,0),"0")</f>
        <v>850</v>
      </c>
      <c r="H75" s="126">
        <f>IFERROR(ROUND(H46/'11 EXS 1-9 Budget Parameters'!H128,0),"0")</f>
        <v>1000</v>
      </c>
      <c r="I75" s="126">
        <f>IFERROR(ROUND(I46/'11 EXS 1-9 Budget Parameters'!I128,0),"0")</f>
        <v>1000</v>
      </c>
      <c r="J75" s="82">
        <f>IFERROR(ROUND(J46/'11 EXS 1-9 Budget Parameters'!J128,0),"0")</f>
        <v>1000</v>
      </c>
    </row>
    <row r="76" spans="1:10" x14ac:dyDescent="0.2">
      <c r="A76" s="127" t="s">
        <v>434</v>
      </c>
      <c r="B76" s="126">
        <f>IFERROR(ROUND(B47/'11 EXS 1-9 Budget Parameters'!B129,0),"0")</f>
        <v>800</v>
      </c>
      <c r="C76" s="126">
        <f>IFERROR(ROUND(C47/'11 EXS 1-9 Budget Parameters'!C129,0),"0")</f>
        <v>800</v>
      </c>
      <c r="D76" s="126">
        <f>IFERROR(ROUND(D47/'11 EXS 1-9 Budget Parameters'!D129,0),"0")</f>
        <v>800</v>
      </c>
      <c r="E76" s="126">
        <f>IFERROR(ROUND(E47/'11 EXS 1-9 Budget Parameters'!E129,0),"0")</f>
        <v>1200</v>
      </c>
      <c r="F76" s="126">
        <f>IFERROR(ROUND(F47/'11 EXS 1-9 Budget Parameters'!F129,0),"0")</f>
        <v>1200</v>
      </c>
      <c r="G76" s="126">
        <f>IFERROR(ROUND(G47/'11 EXS 1-9 Budget Parameters'!G129,0),"0")</f>
        <v>1200</v>
      </c>
      <c r="H76" s="126">
        <f>IFERROR(ROUND(H47/'11 EXS 1-9 Budget Parameters'!H129,0),"0")</f>
        <v>1200</v>
      </c>
      <c r="I76" s="126">
        <f>IFERROR(ROUND(I47/'11 EXS 1-9 Budget Parameters'!I129,0),"0")</f>
        <v>1200</v>
      </c>
      <c r="J76" s="82">
        <f>IFERROR(ROUND(J47/'11 EXS 1-9 Budget Parameters'!J129,0),"0")</f>
        <v>1200</v>
      </c>
    </row>
    <row r="77" spans="1:10" x14ac:dyDescent="0.2">
      <c r="A77" s="154">
        <f>'11 EXS 1-9 Budget Parameters'!A130</f>
        <v>0</v>
      </c>
      <c r="B77" s="490">
        <f>'11 EXS 1-9 Budget Parameters'!B130</f>
        <v>0</v>
      </c>
      <c r="C77" s="490">
        <f>'11 EXS 1-9 Budget Parameters'!C130</f>
        <v>0</v>
      </c>
      <c r="D77" s="490">
        <f>'11 EXS 1-9 Budget Parameters'!D130</f>
        <v>0</v>
      </c>
      <c r="E77" s="490">
        <f>'11 EXS 1-9 Budget Parameters'!E130</f>
        <v>0</v>
      </c>
      <c r="F77" s="490">
        <f>'11 EXS 1-9 Budget Parameters'!F130</f>
        <v>0</v>
      </c>
      <c r="G77" s="490">
        <f>'11 EXS 1-9 Budget Parameters'!G130</f>
        <v>0</v>
      </c>
      <c r="H77" s="490">
        <f>'11 EXS 1-9 Budget Parameters'!H130</f>
        <v>0</v>
      </c>
      <c r="I77" s="490">
        <f>'11 EXS 1-9 Budget Parameters'!I130</f>
        <v>0</v>
      </c>
      <c r="J77" s="490">
        <f>'11 EXS 1-9 Budget Parameters'!J130</f>
        <v>0</v>
      </c>
    </row>
    <row r="78" spans="1:10" x14ac:dyDescent="0.2">
      <c r="A78" s="154">
        <f>'11 EXS 1-9 Budget Parameters'!A131</f>
        <v>0</v>
      </c>
      <c r="B78" s="490">
        <f>'11 EXS 1-9 Budget Parameters'!B131</f>
        <v>0</v>
      </c>
      <c r="C78" s="490">
        <f>'11 EXS 1-9 Budget Parameters'!C131</f>
        <v>0</v>
      </c>
      <c r="D78" s="490">
        <f>'11 EXS 1-9 Budget Parameters'!D131</f>
        <v>0</v>
      </c>
      <c r="E78" s="490">
        <f>'11 EXS 1-9 Budget Parameters'!E131</f>
        <v>0</v>
      </c>
      <c r="F78" s="490">
        <f>'11 EXS 1-9 Budget Parameters'!F131</f>
        <v>0</v>
      </c>
      <c r="G78" s="490">
        <f>'11 EXS 1-9 Budget Parameters'!G131</f>
        <v>0</v>
      </c>
      <c r="H78" s="490">
        <f>'11 EXS 1-9 Budget Parameters'!H131</f>
        <v>0</v>
      </c>
      <c r="I78" s="490">
        <f>'11 EXS 1-9 Budget Parameters'!I131</f>
        <v>0</v>
      </c>
      <c r="J78" s="490">
        <f>'11 EXS 1-9 Budget Parameters'!J131</f>
        <v>0</v>
      </c>
    </row>
    <row r="79" spans="1:10" x14ac:dyDescent="0.2">
      <c r="A79" s="154">
        <f>'11 EXS 1-9 Budget Parameters'!A132</f>
        <v>0</v>
      </c>
      <c r="B79" s="490">
        <f>'11 EXS 1-9 Budget Parameters'!B132</f>
        <v>0</v>
      </c>
      <c r="C79" s="490">
        <f>'11 EXS 1-9 Budget Parameters'!C132</f>
        <v>0</v>
      </c>
      <c r="D79" s="490">
        <f>'11 EXS 1-9 Budget Parameters'!D132</f>
        <v>0</v>
      </c>
      <c r="E79" s="490">
        <f>'11 EXS 1-9 Budget Parameters'!E132</f>
        <v>0</v>
      </c>
      <c r="F79" s="490">
        <f>'11 EXS 1-9 Budget Parameters'!F132</f>
        <v>0</v>
      </c>
      <c r="G79" s="490">
        <f>'11 EXS 1-9 Budget Parameters'!G132</f>
        <v>0</v>
      </c>
      <c r="H79" s="490">
        <f>'11 EXS 1-9 Budget Parameters'!H132</f>
        <v>0</v>
      </c>
      <c r="I79" s="490">
        <f>'11 EXS 1-9 Budget Parameters'!I132</f>
        <v>0</v>
      </c>
      <c r="J79" s="490">
        <f>'11 EXS 1-9 Budget Parameters'!J132</f>
        <v>0</v>
      </c>
    </row>
    <row r="80" spans="1:10" x14ac:dyDescent="0.2">
      <c r="A80" s="154">
        <f>'11 EXS 1-9 Budget Parameters'!A133</f>
        <v>0</v>
      </c>
      <c r="B80" s="490">
        <f>'11 EXS 1-9 Budget Parameters'!B133</f>
        <v>0</v>
      </c>
      <c r="C80" s="490">
        <f>'11 EXS 1-9 Budget Parameters'!C133</f>
        <v>0</v>
      </c>
      <c r="D80" s="490">
        <f>'11 EXS 1-9 Budget Parameters'!D133</f>
        <v>0</v>
      </c>
      <c r="E80" s="490">
        <f>'11 EXS 1-9 Budget Parameters'!E133</f>
        <v>0</v>
      </c>
      <c r="F80" s="490">
        <f>'11 EXS 1-9 Budget Parameters'!F133</f>
        <v>0</v>
      </c>
      <c r="G80" s="490">
        <f>'11 EXS 1-9 Budget Parameters'!G133</f>
        <v>0</v>
      </c>
      <c r="H80" s="490">
        <f>'11 EXS 1-9 Budget Parameters'!H133</f>
        <v>0</v>
      </c>
      <c r="I80" s="490">
        <f>'11 EXS 1-9 Budget Parameters'!I133</f>
        <v>0</v>
      </c>
      <c r="J80" s="490">
        <f>'11 EXS 1-9 Budget Parameters'!J133</f>
        <v>0</v>
      </c>
    </row>
    <row r="81" spans="1:10" x14ac:dyDescent="0.2">
      <c r="A81" s="154">
        <f>'11 EXS 1-9 Budget Parameters'!A134</f>
        <v>0</v>
      </c>
      <c r="B81" s="490">
        <f>'11 EXS 1-9 Budget Parameters'!B134</f>
        <v>0</v>
      </c>
      <c r="C81" s="490">
        <f>'11 EXS 1-9 Budget Parameters'!C134</f>
        <v>0</v>
      </c>
      <c r="D81" s="490">
        <f>'11 EXS 1-9 Budget Parameters'!D134</f>
        <v>0</v>
      </c>
      <c r="E81" s="490">
        <f>'11 EXS 1-9 Budget Parameters'!E134</f>
        <v>0</v>
      </c>
      <c r="F81" s="490">
        <f>'11 EXS 1-9 Budget Parameters'!F134</f>
        <v>0</v>
      </c>
      <c r="G81" s="490">
        <f>'11 EXS 1-9 Budget Parameters'!G134</f>
        <v>0</v>
      </c>
      <c r="H81" s="490">
        <f>'11 EXS 1-9 Budget Parameters'!H134</f>
        <v>0</v>
      </c>
      <c r="I81" s="490">
        <f>'11 EXS 1-9 Budget Parameters'!I134</f>
        <v>0</v>
      </c>
      <c r="J81" s="490">
        <f>'11 EXS 1-9 Budget Parameters'!J134</f>
        <v>0</v>
      </c>
    </row>
    <row r="82" spans="1:10" x14ac:dyDescent="0.2">
      <c r="A82" s="154">
        <f>'11 EXS 1-9 Budget Parameters'!A135</f>
        <v>0</v>
      </c>
      <c r="B82" s="490">
        <f>'11 EXS 1-9 Budget Parameters'!B135</f>
        <v>0</v>
      </c>
      <c r="C82" s="490">
        <f>'11 EXS 1-9 Budget Parameters'!C135</f>
        <v>0</v>
      </c>
      <c r="D82" s="490">
        <f>'11 EXS 1-9 Budget Parameters'!D135</f>
        <v>0</v>
      </c>
      <c r="E82" s="490">
        <f>'11 EXS 1-9 Budget Parameters'!E135</f>
        <v>0</v>
      </c>
      <c r="F82" s="490">
        <f>'11 EXS 1-9 Budget Parameters'!F135</f>
        <v>0</v>
      </c>
      <c r="G82" s="490">
        <f>'11 EXS 1-9 Budget Parameters'!G135</f>
        <v>0</v>
      </c>
      <c r="H82" s="490">
        <f>'11 EXS 1-9 Budget Parameters'!H135</f>
        <v>0</v>
      </c>
      <c r="I82" s="490">
        <f>'11 EXS 1-9 Budget Parameters'!I135</f>
        <v>0</v>
      </c>
      <c r="J82" s="490">
        <f>'11 EXS 1-9 Budget Parameters'!J135</f>
        <v>0</v>
      </c>
    </row>
    <row r="83" spans="1:10" x14ac:dyDescent="0.2">
      <c r="A83" s="154">
        <f>'11 EXS 1-9 Budget Parameters'!A136</f>
        <v>0</v>
      </c>
      <c r="B83" s="490">
        <f>'11 EXS 1-9 Budget Parameters'!B136</f>
        <v>0</v>
      </c>
      <c r="C83" s="490">
        <f>'11 EXS 1-9 Budget Parameters'!C136</f>
        <v>0</v>
      </c>
      <c r="D83" s="490">
        <f>'11 EXS 1-9 Budget Parameters'!D136</f>
        <v>0</v>
      </c>
      <c r="E83" s="490">
        <f>'11 EXS 1-9 Budget Parameters'!E136</f>
        <v>0</v>
      </c>
      <c r="F83" s="490">
        <f>'11 EXS 1-9 Budget Parameters'!F136</f>
        <v>0</v>
      </c>
      <c r="G83" s="490">
        <f>'11 EXS 1-9 Budget Parameters'!G136</f>
        <v>0</v>
      </c>
      <c r="H83" s="490">
        <f>'11 EXS 1-9 Budget Parameters'!H136</f>
        <v>0</v>
      </c>
      <c r="I83" s="490">
        <f>'11 EXS 1-9 Budget Parameters'!I136</f>
        <v>0</v>
      </c>
      <c r="J83" s="490">
        <f>'11 EXS 1-9 Budget Parameters'!J136</f>
        <v>0</v>
      </c>
    </row>
    <row r="84" spans="1:10" x14ac:dyDescent="0.2">
      <c r="A84" s="154">
        <f>'11 EXS 1-9 Budget Parameters'!A137</f>
        <v>0</v>
      </c>
      <c r="B84" s="490">
        <f>'11 EXS 1-9 Budget Parameters'!B137</f>
        <v>0</v>
      </c>
      <c r="C84" s="490">
        <f>'11 EXS 1-9 Budget Parameters'!C137</f>
        <v>0</v>
      </c>
      <c r="D84" s="490">
        <f>'11 EXS 1-9 Budget Parameters'!D137</f>
        <v>0</v>
      </c>
      <c r="E84" s="490">
        <f>'11 EXS 1-9 Budget Parameters'!E137</f>
        <v>0</v>
      </c>
      <c r="F84" s="490">
        <f>'11 EXS 1-9 Budget Parameters'!F137</f>
        <v>0</v>
      </c>
      <c r="G84" s="490">
        <f>'11 EXS 1-9 Budget Parameters'!G137</f>
        <v>0</v>
      </c>
      <c r="H84" s="490">
        <f>'11 EXS 1-9 Budget Parameters'!H137</f>
        <v>0</v>
      </c>
      <c r="I84" s="490">
        <f>'11 EXS 1-9 Budget Parameters'!I137</f>
        <v>0</v>
      </c>
      <c r="J84" s="490">
        <f>'11 EXS 1-9 Budget Parameters'!J137</f>
        <v>0</v>
      </c>
    </row>
    <row r="85" spans="1:10" x14ac:dyDescent="0.2">
      <c r="A85" s="125"/>
      <c r="B85" s="126"/>
      <c r="C85" s="126"/>
      <c r="D85" s="126"/>
      <c r="E85" s="126"/>
      <c r="F85" s="126"/>
      <c r="G85" s="126"/>
      <c r="H85" s="126"/>
      <c r="I85" s="126"/>
      <c r="J85" s="82"/>
    </row>
    <row r="86" spans="1:10" x14ac:dyDescent="0.2">
      <c r="A86" s="125"/>
      <c r="B86" s="126"/>
      <c r="C86" s="126"/>
      <c r="D86" s="126"/>
      <c r="E86" s="126"/>
      <c r="F86" s="126"/>
      <c r="G86" s="126"/>
      <c r="H86" s="126"/>
      <c r="I86" s="126"/>
      <c r="J86" s="82"/>
    </row>
    <row r="87" spans="1:10" s="124" customFormat="1" x14ac:dyDescent="0.2">
      <c r="A87" s="38"/>
      <c r="B87" s="143"/>
      <c r="C87" s="38"/>
      <c r="D87" s="143"/>
      <c r="E87" s="38"/>
      <c r="F87" s="143"/>
      <c r="G87" s="38"/>
      <c r="H87" s="143"/>
      <c r="I87" s="38"/>
      <c r="J87" s="73"/>
    </row>
    <row r="88" spans="1:10" s="124" customFormat="1" x14ac:dyDescent="0.2">
      <c r="A88" s="39" t="s">
        <v>424</v>
      </c>
      <c r="B88" s="144">
        <f>ROUND(SUM(B63:B86),0)</f>
        <v>110770</v>
      </c>
      <c r="C88" s="40">
        <f t="shared" ref="C88:J88" si="1">ROUND(SUM(C63:C86),0)</f>
        <v>201946</v>
      </c>
      <c r="D88" s="144">
        <f t="shared" si="1"/>
        <v>301412</v>
      </c>
      <c r="E88" s="40">
        <f t="shared" si="1"/>
        <v>280620</v>
      </c>
      <c r="F88" s="144">
        <f t="shared" si="1"/>
        <v>333602</v>
      </c>
      <c r="G88" s="40">
        <f t="shared" si="1"/>
        <v>409129</v>
      </c>
      <c r="H88" s="144">
        <f t="shared" si="1"/>
        <v>457646</v>
      </c>
      <c r="I88" s="40">
        <f t="shared" si="1"/>
        <v>486727</v>
      </c>
      <c r="J88" s="74">
        <f t="shared" si="1"/>
        <v>574726</v>
      </c>
    </row>
    <row r="89" spans="1:10" s="124" customFormat="1" ht="13.5" thickBot="1" x14ac:dyDescent="0.25">
      <c r="A89" s="41"/>
      <c r="B89" s="145"/>
      <c r="C89" s="41"/>
      <c r="D89" s="145"/>
      <c r="E89" s="41"/>
      <c r="F89" s="145"/>
      <c r="G89" s="41"/>
      <c r="H89" s="145"/>
      <c r="I89" s="41"/>
      <c r="J89" s="75"/>
    </row>
    <row r="90" spans="1:10" ht="13.5" thickTop="1" x14ac:dyDescent="0.2"/>
    <row r="91" spans="1:10" x14ac:dyDescent="0.2">
      <c r="A91" s="123" t="s">
        <v>638</v>
      </c>
      <c r="B91" s="494"/>
      <c r="C91" s="494"/>
      <c r="D91" s="494"/>
      <c r="E91" s="494"/>
      <c r="F91" s="494"/>
      <c r="G91" s="494"/>
      <c r="H91" s="494"/>
      <c r="I91" s="494"/>
      <c r="J91" s="494"/>
    </row>
    <row r="92" spans="1:10" x14ac:dyDescent="0.2">
      <c r="A92" s="154" t="s">
        <v>153</v>
      </c>
      <c r="B92" s="126"/>
      <c r="C92" s="126"/>
      <c r="D92" s="126"/>
      <c r="E92" s="126"/>
      <c r="F92" s="126"/>
      <c r="G92" s="126"/>
      <c r="H92" s="126"/>
      <c r="I92" s="126"/>
      <c r="J92" s="82"/>
    </row>
    <row r="93" spans="1:10" x14ac:dyDescent="0.2">
      <c r="A93" s="139" t="s">
        <v>155</v>
      </c>
      <c r="B93" s="126">
        <f>ROUND('11 EXS 1-9 Budget Parameters'!B235+'11 EXS 1-9 Budget Parameters'!B241+'11 EXS 1-9 Budget Parameters'!B247+'11 EXS 1-9 Budget Parameters'!B256,0)</f>
        <v>36500</v>
      </c>
      <c r="C93" s="126">
        <f>ROUND('11 EXS 1-9 Budget Parameters'!C235+'11 EXS 1-9 Budget Parameters'!C241+'11 EXS 1-9 Budget Parameters'!C247+'11 EXS 1-9 Budget Parameters'!C256,0)</f>
        <v>0</v>
      </c>
      <c r="D93" s="126">
        <f>ROUND('11 EXS 1-9 Budget Parameters'!D235+'11 EXS 1-9 Budget Parameters'!D241+'11 EXS 1-9 Budget Parameters'!D247+'11 EXS 1-9 Budget Parameters'!D256,0)</f>
        <v>0</v>
      </c>
      <c r="E93" s="126">
        <f>ROUND('11 EXS 1-9 Budget Parameters'!E235+'11 EXS 1-9 Budget Parameters'!E241+'11 EXS 1-9 Budget Parameters'!E247+'11 EXS 1-9 Budget Parameters'!E256,0)</f>
        <v>0</v>
      </c>
      <c r="F93" s="126">
        <f>ROUND('11 EXS 1-9 Budget Parameters'!F235+'11 EXS 1-9 Budget Parameters'!F241+'11 EXS 1-9 Budget Parameters'!F247+'11 EXS 1-9 Budget Parameters'!F256,0)</f>
        <v>0</v>
      </c>
      <c r="G93" s="126">
        <f>ROUND('11 EXS 1-9 Budget Parameters'!G235+'11 EXS 1-9 Budget Parameters'!G241+'11 EXS 1-9 Budget Parameters'!G247+'11 EXS 1-9 Budget Parameters'!G256,0)</f>
        <v>0</v>
      </c>
      <c r="H93" s="126">
        <f>ROUND('11 EXS 1-9 Budget Parameters'!H235+'11 EXS 1-9 Budget Parameters'!H241+'11 EXS 1-9 Budget Parameters'!H247+'11 EXS 1-9 Budget Parameters'!H256,0)</f>
        <v>0</v>
      </c>
      <c r="I93" s="126">
        <f>ROUND('11 EXS 1-9 Budget Parameters'!I235+'11 EXS 1-9 Budget Parameters'!I241+'11 EXS 1-9 Budget Parameters'!I247+'11 EXS 1-9 Budget Parameters'!I256,0)</f>
        <v>0</v>
      </c>
      <c r="J93" s="82">
        <f>ROUND('11 EXS 1-9 Budget Parameters'!J235+'11 EXS 1-9 Budget Parameters'!J241+'11 EXS 1-9 Budget Parameters'!J247+'11 EXS 1-9 Budget Parameters'!J256,0)</f>
        <v>0</v>
      </c>
    </row>
    <row r="94" spans="1:10" x14ac:dyDescent="0.2">
      <c r="A94" s="155" t="s">
        <v>154</v>
      </c>
      <c r="B94" s="126">
        <f>ROUND('11 EXS 1-9 Budget Parameters'!B238+'11 EXS 1-9 Budget Parameters'!B244+'11 EXS 1-9 Budget Parameters'!B250+'11 EXS 1-9 Budget Parameters'!B259,0)</f>
        <v>69350</v>
      </c>
      <c r="C94" s="126">
        <f>ROUND('11 EXS 1-9 Budget Parameters'!C238+'11 EXS 1-9 Budget Parameters'!C244+'11 EXS 1-9 Budget Parameters'!C250+'11 EXS 1-9 Budget Parameters'!C259,0)</f>
        <v>105850</v>
      </c>
      <c r="D94" s="126">
        <f>ROUND('11 EXS 1-9 Budget Parameters'!D238+'11 EXS 1-9 Budget Parameters'!D244+'11 EXS 1-9 Budget Parameters'!D250+'11 EXS 1-9 Budget Parameters'!D259,0)</f>
        <v>105850</v>
      </c>
      <c r="E94" s="126">
        <f>ROUND('11 EXS 1-9 Budget Parameters'!E238+'11 EXS 1-9 Budget Parameters'!E244+'11 EXS 1-9 Budget Parameters'!E250+'11 EXS 1-9 Budget Parameters'!E259,0)</f>
        <v>137050</v>
      </c>
      <c r="F94" s="126">
        <f>ROUND('11 EXS 1-9 Budget Parameters'!F238+'11 EXS 1-9 Budget Parameters'!F244+'11 EXS 1-9 Budget Parameters'!F250+'11 EXS 1-9 Budget Parameters'!F259,0)</f>
        <v>137050</v>
      </c>
      <c r="G94" s="126">
        <f>ROUND('11 EXS 1-9 Budget Parameters'!G238+'11 EXS 1-9 Budget Parameters'!G244+'11 EXS 1-9 Budget Parameters'!G250+'11 EXS 1-9 Budget Parameters'!G259,0)</f>
        <v>137050</v>
      </c>
      <c r="H94" s="126">
        <f>ROUND('11 EXS 1-9 Budget Parameters'!H238+'11 EXS 1-9 Budget Parameters'!H244+'11 EXS 1-9 Budget Parameters'!H250+'11 EXS 1-9 Budget Parameters'!H259,0)</f>
        <v>219000</v>
      </c>
      <c r="I94" s="126">
        <f>ROUND('11 EXS 1-9 Budget Parameters'!I238+'11 EXS 1-9 Budget Parameters'!I244+'11 EXS 1-9 Budget Parameters'!I250+'11 EXS 1-9 Budget Parameters'!I259,0)</f>
        <v>224475</v>
      </c>
      <c r="J94" s="82">
        <f>ROUND('11 EXS 1-9 Budget Parameters'!J238+'11 EXS 1-9 Budget Parameters'!J244+'11 EXS 1-9 Budget Parameters'!J250+'11 EXS 1-9 Budget Parameters'!J259,0)</f>
        <v>228125</v>
      </c>
    </row>
    <row r="95" spans="1:10" x14ac:dyDescent="0.2">
      <c r="A95" s="155" t="s">
        <v>156</v>
      </c>
      <c r="B95" s="126">
        <f>ROUND('11 EXS 1-9 Budget Parameters'!B239+'11 EXS 1-9 Budget Parameters'!B245+'11 EXS 1-9 Budget Parameters'!B251+'11 EXS 1-9 Budget Parameters'!B260,0)</f>
        <v>3176</v>
      </c>
      <c r="C95" s="126">
        <f>ROUND('11 EXS 1-9 Budget Parameters'!C239+'11 EXS 1-9 Budget Parameters'!C245+'11 EXS 1-9 Budget Parameters'!C251+'11 EXS 1-9 Budget Parameters'!C260,0)</f>
        <v>5024</v>
      </c>
      <c r="D95" s="126">
        <f>ROUND('11 EXS 1-9 Budget Parameters'!D239+'11 EXS 1-9 Budget Parameters'!D245+'11 EXS 1-9 Budget Parameters'!D251+'11 EXS 1-9 Budget Parameters'!D260,0)</f>
        <v>5024</v>
      </c>
      <c r="E95" s="126">
        <f>ROUND('11 EXS 1-9 Budget Parameters'!E239+'11 EXS 1-9 Budget Parameters'!E245+'11 EXS 1-9 Budget Parameters'!E251+'11 EXS 1-9 Budget Parameters'!E260,0)</f>
        <v>13986</v>
      </c>
      <c r="F95" s="126">
        <f>ROUND('11 EXS 1-9 Budget Parameters'!F239+'11 EXS 1-9 Budget Parameters'!F245+'11 EXS 1-9 Budget Parameters'!F251+'11 EXS 1-9 Budget Parameters'!F260,0)</f>
        <v>13986</v>
      </c>
      <c r="G95" s="126">
        <f>ROUND('11 EXS 1-9 Budget Parameters'!G239+'11 EXS 1-9 Budget Parameters'!G245+'11 EXS 1-9 Budget Parameters'!G251+'11 EXS 1-9 Budget Parameters'!G260,0)</f>
        <v>13986</v>
      </c>
      <c r="H95" s="126">
        <f>ROUND('11 EXS 1-9 Budget Parameters'!H239+'11 EXS 1-9 Budget Parameters'!H245+'11 EXS 1-9 Budget Parameters'!H251+'11 EXS 1-9 Budget Parameters'!H260,0)</f>
        <v>15752</v>
      </c>
      <c r="I95" s="126">
        <f>ROUND('11 EXS 1-9 Budget Parameters'!I239+'11 EXS 1-9 Budget Parameters'!I245+'11 EXS 1-9 Budget Parameters'!I251+'11 EXS 1-9 Budget Parameters'!I260,0)</f>
        <v>18036</v>
      </c>
      <c r="J95" s="82">
        <f>ROUND('11 EXS 1-9 Budget Parameters'!J239+'11 EXS 1-9 Budget Parameters'!J245+'11 EXS 1-9 Budget Parameters'!J251+'11 EXS 1-9 Budget Parameters'!J260,0)</f>
        <v>22783</v>
      </c>
    </row>
    <row r="96" spans="1:10" x14ac:dyDescent="0.2">
      <c r="A96" s="139" t="s">
        <v>157</v>
      </c>
      <c r="B96" s="126">
        <f>'11 EXS 1-9 Budget Parameters'!B265</f>
        <v>15877.5</v>
      </c>
      <c r="C96" s="126">
        <f>'11 EXS 1-9 Budget Parameters'!C265</f>
        <v>15877.5</v>
      </c>
      <c r="D96" s="126">
        <f>'11 EXS 1-9 Budget Parameters'!D265</f>
        <v>15877.5</v>
      </c>
      <c r="E96" s="126">
        <f>'11 EXS 1-9 Budget Parameters'!E265</f>
        <v>20557.5</v>
      </c>
      <c r="F96" s="126">
        <f>'11 EXS 1-9 Budget Parameters'!F265</f>
        <v>20557.5</v>
      </c>
      <c r="G96" s="126">
        <f>'11 EXS 1-9 Budget Parameters'!G265</f>
        <v>20557.5</v>
      </c>
      <c r="H96" s="126">
        <f>'11 EXS 1-9 Budget Parameters'!H265</f>
        <v>32850</v>
      </c>
      <c r="I96" s="126">
        <f>'11 EXS 1-9 Budget Parameters'!I265</f>
        <v>33671.300000000003</v>
      </c>
      <c r="J96" s="82">
        <f>'11 EXS 1-9 Budget Parameters'!J265</f>
        <v>34218.800000000003</v>
      </c>
    </row>
    <row r="97" spans="1:10" x14ac:dyDescent="0.2">
      <c r="A97" s="125" t="s">
        <v>158</v>
      </c>
      <c r="B97" s="126">
        <f t="shared" ref="B97:J97" si="2">ROUND(SUM(B93:B96),0)</f>
        <v>124904</v>
      </c>
      <c r="C97" s="126">
        <f t="shared" si="2"/>
        <v>126752</v>
      </c>
      <c r="D97" s="126">
        <f t="shared" si="2"/>
        <v>126752</v>
      </c>
      <c r="E97" s="126">
        <f t="shared" si="2"/>
        <v>171594</v>
      </c>
      <c r="F97" s="126">
        <f t="shared" si="2"/>
        <v>171594</v>
      </c>
      <c r="G97" s="126">
        <f t="shared" si="2"/>
        <v>171594</v>
      </c>
      <c r="H97" s="126">
        <f t="shared" si="2"/>
        <v>267602</v>
      </c>
      <c r="I97" s="126">
        <f t="shared" si="2"/>
        <v>276182</v>
      </c>
      <c r="J97" s="82">
        <f t="shared" si="2"/>
        <v>285127</v>
      </c>
    </row>
    <row r="98" spans="1:10" x14ac:dyDescent="0.2">
      <c r="A98" s="156" t="s">
        <v>134</v>
      </c>
      <c r="B98" s="126">
        <f>'11 EXS 1-9 Budget Parameters'!B288</f>
        <v>4025</v>
      </c>
      <c r="C98" s="126">
        <f>'11 EXS 1-9 Budget Parameters'!C288</f>
        <v>10063</v>
      </c>
      <c r="D98" s="126">
        <f>'11 EXS 1-9 Budget Parameters'!D288</f>
        <v>16100</v>
      </c>
      <c r="E98" s="126">
        <f>'11 EXS 1-9 Budget Parameters'!E288</f>
        <v>28175</v>
      </c>
      <c r="F98" s="126">
        <f>'11 EXS 1-9 Budget Parameters'!F288</f>
        <v>51750</v>
      </c>
      <c r="G98" s="126">
        <f>'11 EXS 1-9 Budget Parameters'!G288</f>
        <v>57500</v>
      </c>
      <c r="H98" s="126">
        <f>'11 EXS 1-9 Budget Parameters'!H288</f>
        <v>69000</v>
      </c>
      <c r="I98" s="126">
        <f>'11 EXS 1-9 Budget Parameters'!I288</f>
        <v>74750</v>
      </c>
      <c r="J98" s="82">
        <f>'11 EXS 1-9 Budget Parameters'!J288</f>
        <v>74750</v>
      </c>
    </row>
    <row r="99" spans="1:10" x14ac:dyDescent="0.2">
      <c r="A99" s="156" t="s">
        <v>508</v>
      </c>
      <c r="B99" s="126">
        <f>'11 EXS 1-9 Budget Parameters'!B308</f>
        <v>10960</v>
      </c>
      <c r="C99" s="126">
        <f>'11 EXS 1-9 Budget Parameters'!C308</f>
        <v>21920</v>
      </c>
      <c r="D99" s="126">
        <f>'11 EXS 1-9 Budget Parameters'!D308</f>
        <v>32840</v>
      </c>
      <c r="E99" s="126">
        <f>'11 EXS 1-9 Budget Parameters'!E308</f>
        <v>43800</v>
      </c>
      <c r="F99" s="126">
        <f>'11 EXS 1-9 Budget Parameters'!F308</f>
        <v>54760</v>
      </c>
      <c r="G99" s="126">
        <f>'11 EXS 1-9 Budget Parameters'!G308</f>
        <v>65720</v>
      </c>
      <c r="H99" s="126">
        <f>'11 EXS 1-9 Budget Parameters'!H308</f>
        <v>71560</v>
      </c>
      <c r="I99" s="126">
        <f>'11 EXS 1-9 Budget Parameters'!I308</f>
        <v>81760</v>
      </c>
      <c r="J99" s="82">
        <f>'11 EXS 1-9 Budget Parameters'!J308</f>
        <v>92000</v>
      </c>
    </row>
    <row r="100" spans="1:10" ht="13.5" customHeight="1" x14ac:dyDescent="0.2">
      <c r="A100" s="127" t="s">
        <v>171</v>
      </c>
      <c r="B100" s="126">
        <f>'11 EXS 1-9 Budget Parameters'!B315</f>
        <v>4000</v>
      </c>
      <c r="C100" s="126">
        <f>'11 EXS 1-9 Budget Parameters'!C315</f>
        <v>4000</v>
      </c>
      <c r="D100" s="126">
        <f>'11 EXS 1-9 Budget Parameters'!D315</f>
        <v>4000</v>
      </c>
      <c r="E100" s="126">
        <f>'11 EXS 1-9 Budget Parameters'!E315</f>
        <v>4200</v>
      </c>
      <c r="F100" s="126">
        <f>'11 EXS 1-9 Budget Parameters'!F315</f>
        <v>4200</v>
      </c>
      <c r="G100" s="126">
        <f>'11 EXS 1-9 Budget Parameters'!G315</f>
        <v>4200</v>
      </c>
      <c r="H100" s="126">
        <f>'11 EXS 1-9 Budget Parameters'!H315</f>
        <v>4200</v>
      </c>
      <c r="I100" s="126">
        <f>'11 EXS 1-9 Budget Parameters'!I315</f>
        <v>4200</v>
      </c>
      <c r="J100" s="82">
        <f>'11 EXS 1-9 Budget Parameters'!J315</f>
        <v>4900</v>
      </c>
    </row>
    <row r="101" spans="1:10" x14ac:dyDescent="0.2">
      <c r="A101" s="127" t="s">
        <v>172</v>
      </c>
      <c r="B101" s="126">
        <f>'11 EXS 1-9 Budget Parameters'!B322</f>
        <v>0</v>
      </c>
      <c r="C101" s="126">
        <f>'11 EXS 1-9 Budget Parameters'!C322</f>
        <v>0</v>
      </c>
      <c r="D101" s="126">
        <f>'11 EXS 1-9 Budget Parameters'!D322</f>
        <v>0</v>
      </c>
      <c r="E101" s="126">
        <f>'11 EXS 1-9 Budget Parameters'!E322</f>
        <v>0</v>
      </c>
      <c r="F101" s="126">
        <f>'11 EXS 1-9 Budget Parameters'!F322</f>
        <v>0</v>
      </c>
      <c r="G101" s="126">
        <f>'11 EXS 1-9 Budget Parameters'!G322</f>
        <v>0</v>
      </c>
      <c r="H101" s="126">
        <f>'11 EXS 1-9 Budget Parameters'!H322</f>
        <v>4200</v>
      </c>
      <c r="I101" s="126">
        <f>'11 EXS 1-9 Budget Parameters'!I322</f>
        <v>4200</v>
      </c>
      <c r="J101" s="82">
        <f>'11 EXS 1-9 Budget Parameters'!J322</f>
        <v>4900</v>
      </c>
    </row>
    <row r="102" spans="1:10" x14ac:dyDescent="0.2">
      <c r="A102" s="156" t="s">
        <v>174</v>
      </c>
      <c r="B102" s="126">
        <f>'11 EXS 1-9 Budget Parameters'!B330</f>
        <v>8400</v>
      </c>
      <c r="C102" s="126">
        <f>'11 EXS 1-9 Budget Parameters'!C330</f>
        <v>8400</v>
      </c>
      <c r="D102" s="126">
        <f>'11 EXS 1-9 Budget Parameters'!D330</f>
        <v>8400</v>
      </c>
      <c r="E102" s="126">
        <f>'11 EXS 1-9 Budget Parameters'!E330</f>
        <v>8400</v>
      </c>
      <c r="F102" s="126">
        <f>'11 EXS 1-9 Budget Parameters'!F330</f>
        <v>8400</v>
      </c>
      <c r="G102" s="126">
        <f>'11 EXS 1-9 Budget Parameters'!G330</f>
        <v>8400</v>
      </c>
      <c r="H102" s="126">
        <f>'11 EXS 1-9 Budget Parameters'!H330</f>
        <v>8400</v>
      </c>
      <c r="I102" s="126">
        <f>'11 EXS 1-9 Budget Parameters'!I330</f>
        <v>8400</v>
      </c>
      <c r="J102" s="82">
        <f>'11 EXS 1-9 Budget Parameters'!J330</f>
        <v>8400</v>
      </c>
    </row>
    <row r="103" spans="1:10" x14ac:dyDescent="0.2">
      <c r="A103" s="156" t="s">
        <v>175</v>
      </c>
      <c r="B103" s="126">
        <f>'11 EXS 1-9 Budget Parameters'!B336</f>
        <v>0</v>
      </c>
      <c r="C103" s="126">
        <f>'11 EXS 1-9 Budget Parameters'!C336</f>
        <v>0</v>
      </c>
      <c r="D103" s="126">
        <f>'11 EXS 1-9 Budget Parameters'!D336</f>
        <v>0</v>
      </c>
      <c r="E103" s="126">
        <f>'11 EXS 1-9 Budget Parameters'!E336</f>
        <v>0</v>
      </c>
      <c r="F103" s="126">
        <f>'11 EXS 1-9 Budget Parameters'!F336</f>
        <v>0</v>
      </c>
      <c r="G103" s="126">
        <f>'11 EXS 1-9 Budget Parameters'!G336</f>
        <v>0</v>
      </c>
      <c r="H103" s="126">
        <f>'11 EXS 1-9 Budget Parameters'!H336</f>
        <v>8400</v>
      </c>
      <c r="I103" s="126">
        <f>'11 EXS 1-9 Budget Parameters'!I336</f>
        <v>8400</v>
      </c>
      <c r="J103" s="82">
        <f>'11 EXS 1-9 Budget Parameters'!J336</f>
        <v>8400</v>
      </c>
    </row>
    <row r="104" spans="1:10" x14ac:dyDescent="0.2">
      <c r="A104" s="127" t="s">
        <v>162</v>
      </c>
      <c r="B104" s="126">
        <f>'11 EXS 1-9 Budget Parameters'!B355</f>
        <v>16488</v>
      </c>
      <c r="C104" s="126">
        <f>'11 EXS 1-9 Budget Parameters'!C355</f>
        <v>22300</v>
      </c>
      <c r="D104" s="126">
        <f>'11 EXS 1-9 Budget Parameters'!D355</f>
        <v>29600</v>
      </c>
      <c r="E104" s="126">
        <f>'11 EXS 1-9 Budget Parameters'!E355</f>
        <v>39778</v>
      </c>
      <c r="F104" s="126">
        <f>'11 EXS 1-9 Budget Parameters'!F355</f>
        <v>46834</v>
      </c>
      <c r="G104" s="126">
        <f>'11 EXS 1-9 Budget Parameters'!G355</f>
        <v>53890</v>
      </c>
      <c r="H104" s="126">
        <f>'11 EXS 1-9 Budget Parameters'!H355</f>
        <v>62082</v>
      </c>
      <c r="I104" s="126">
        <f>'11 EXS 1-9 Budget Parameters'!I355</f>
        <v>69302</v>
      </c>
      <c r="J104" s="82">
        <f>'11 EXS 1-9 Budget Parameters'!J355</f>
        <v>76518</v>
      </c>
    </row>
    <row r="105" spans="1:10" x14ac:dyDescent="0.2">
      <c r="A105" s="125" t="s">
        <v>177</v>
      </c>
      <c r="B105" s="126">
        <f>'11 EXS 1-9 Budget Parameters'!B367</f>
        <v>16063</v>
      </c>
      <c r="C105" s="126">
        <f>'11 EXS 1-9 Budget Parameters'!C367</f>
        <v>32126</v>
      </c>
      <c r="D105" s="126">
        <f>'11 EXS 1-9 Budget Parameters'!D367</f>
        <v>48179</v>
      </c>
      <c r="E105" s="126">
        <f>'11 EXS 1-9 Budget Parameters'!E367</f>
        <v>68865</v>
      </c>
      <c r="F105" s="126">
        <f>'11 EXS 1-9 Budget Parameters'!F367</f>
        <v>89921</v>
      </c>
      <c r="G105" s="126">
        <f>'11 EXS 1-9 Budget Parameters'!G367</f>
        <v>110166</v>
      </c>
      <c r="H105" s="126">
        <f>'11 EXS 1-9 Budget Parameters'!H367</f>
        <v>135982</v>
      </c>
      <c r="I105" s="126">
        <f>'11 EXS 1-9 Budget Parameters'!I367</f>
        <v>155393</v>
      </c>
      <c r="J105" s="82">
        <f>'11 EXS 1-9 Budget Parameters'!J367</f>
        <v>185293</v>
      </c>
    </row>
    <row r="106" spans="1:10" x14ac:dyDescent="0.2">
      <c r="A106" s="127" t="s">
        <v>260</v>
      </c>
      <c r="B106" s="126">
        <f>'11 EXS 1-9 Budget Parameters'!B377</f>
        <v>4200</v>
      </c>
      <c r="C106" s="126">
        <f>'11 EXS 1-9 Budget Parameters'!C377</f>
        <v>4200</v>
      </c>
      <c r="D106" s="126">
        <f>'11 EXS 1-9 Budget Parameters'!D377</f>
        <v>4200</v>
      </c>
      <c r="E106" s="126">
        <f>'11 EXS 1-9 Budget Parameters'!E377</f>
        <v>4860</v>
      </c>
      <c r="F106" s="126">
        <f>'11 EXS 1-9 Budget Parameters'!F377</f>
        <v>4860</v>
      </c>
      <c r="G106" s="126">
        <f>'11 EXS 1-9 Budget Parameters'!G377</f>
        <v>4860</v>
      </c>
      <c r="H106" s="126">
        <f>'11 EXS 1-9 Budget Parameters'!H377</f>
        <v>6600</v>
      </c>
      <c r="I106" s="126">
        <f>'11 EXS 1-9 Budget Parameters'!I377</f>
        <v>6600</v>
      </c>
      <c r="J106" s="82">
        <f>'11 EXS 1-9 Budget Parameters'!J377</f>
        <v>6600</v>
      </c>
    </row>
    <row r="107" spans="1:10" x14ac:dyDescent="0.2">
      <c r="A107" s="125" t="s">
        <v>185</v>
      </c>
      <c r="B107" s="126">
        <f>'11 EXS 1-9 Budget Parameters'!B393</f>
        <v>825</v>
      </c>
      <c r="C107" s="126">
        <f>'11 EXS 1-9 Budget Parameters'!C393</f>
        <v>825</v>
      </c>
      <c r="D107" s="126">
        <f>'11 EXS 1-9 Budget Parameters'!D393</f>
        <v>825</v>
      </c>
      <c r="E107" s="126">
        <f>'11 EXS 1-9 Budget Parameters'!E393</f>
        <v>975</v>
      </c>
      <c r="F107" s="126">
        <f>'11 EXS 1-9 Budget Parameters'!F393</f>
        <v>975</v>
      </c>
      <c r="G107" s="126">
        <f>'11 EXS 1-9 Budget Parameters'!G393</f>
        <v>975</v>
      </c>
      <c r="H107" s="126">
        <f>'11 EXS 1-9 Budget Parameters'!H393</f>
        <v>1740</v>
      </c>
      <c r="I107" s="126">
        <f>'11 EXS 1-9 Budget Parameters'!I393</f>
        <v>1740</v>
      </c>
      <c r="J107" s="82">
        <f>'11 EXS 1-9 Budget Parameters'!J393</f>
        <v>1740</v>
      </c>
    </row>
    <row r="108" spans="1:10" x14ac:dyDescent="0.2">
      <c r="A108" s="125" t="s">
        <v>193</v>
      </c>
      <c r="B108" s="126">
        <f>'11 EXS 1-9 Budget Parameters'!B398</f>
        <v>1800</v>
      </c>
      <c r="C108" s="126">
        <f>'11 EXS 1-9 Budget Parameters'!C398</f>
        <v>1800</v>
      </c>
      <c r="D108" s="126">
        <f>'11 EXS 1-9 Budget Parameters'!D398</f>
        <v>1800</v>
      </c>
      <c r="E108" s="126">
        <f>'11 EXS 1-9 Budget Parameters'!E398</f>
        <v>2100</v>
      </c>
      <c r="F108" s="126">
        <f>'11 EXS 1-9 Budget Parameters'!F398</f>
        <v>2100</v>
      </c>
      <c r="G108" s="126">
        <f>'11 EXS 1-9 Budget Parameters'!G398</f>
        <v>3000</v>
      </c>
      <c r="H108" s="126">
        <f>'11 EXS 1-9 Budget Parameters'!H398</f>
        <v>3000</v>
      </c>
      <c r="I108" s="126">
        <f>'11 EXS 1-9 Budget Parameters'!I398</f>
        <v>4200</v>
      </c>
      <c r="J108" s="82">
        <f>'11 EXS 1-9 Budget Parameters'!J398</f>
        <v>4200</v>
      </c>
    </row>
    <row r="109" spans="1:10" x14ac:dyDescent="0.2">
      <c r="A109" s="127" t="s">
        <v>194</v>
      </c>
      <c r="B109" s="126">
        <f>'11 EXS 1-9 Budget Parameters'!B402</f>
        <v>6840</v>
      </c>
      <c r="C109" s="126">
        <f>'11 EXS 1-9 Budget Parameters'!C402</f>
        <v>6840</v>
      </c>
      <c r="D109" s="126">
        <f>'11 EXS 1-9 Budget Parameters'!D402</f>
        <v>6840</v>
      </c>
      <c r="E109" s="126">
        <f>'11 EXS 1-9 Budget Parameters'!E402</f>
        <v>10200</v>
      </c>
      <c r="F109" s="126">
        <f>'11 EXS 1-9 Budget Parameters'!F402</f>
        <v>10200</v>
      </c>
      <c r="G109" s="126">
        <f>'11 EXS 1-9 Budget Parameters'!G402</f>
        <v>10200</v>
      </c>
      <c r="H109" s="126">
        <f>'11 EXS 1-9 Budget Parameters'!H402</f>
        <v>24000</v>
      </c>
      <c r="I109" s="126">
        <f>'11 EXS 1-9 Budget Parameters'!I402</f>
        <v>24000</v>
      </c>
      <c r="J109" s="82">
        <f>'11 EXS 1-9 Budget Parameters'!J402</f>
        <v>24000</v>
      </c>
    </row>
    <row r="110" spans="1:10" x14ac:dyDescent="0.2">
      <c r="A110" s="127" t="s">
        <v>446</v>
      </c>
      <c r="B110" s="126">
        <f>'11 EXS 1-9 Budget Parameters'!B406</f>
        <v>2250</v>
      </c>
      <c r="C110" s="126">
        <f>'11 EXS 1-9 Budget Parameters'!C406</f>
        <v>2250</v>
      </c>
      <c r="D110" s="126">
        <f>'11 EXS 1-9 Budget Parameters'!D406</f>
        <v>2250</v>
      </c>
      <c r="E110" s="126">
        <f>'11 EXS 1-9 Budget Parameters'!E406</f>
        <v>2550</v>
      </c>
      <c r="F110" s="126">
        <f>'11 EXS 1-9 Budget Parameters'!F406</f>
        <v>2550</v>
      </c>
      <c r="G110" s="126">
        <f>'11 EXS 1-9 Budget Parameters'!G406</f>
        <v>2550</v>
      </c>
      <c r="H110" s="126">
        <f>'11 EXS 1-9 Budget Parameters'!H406</f>
        <v>3000</v>
      </c>
      <c r="I110" s="126">
        <f>'11 EXS 1-9 Budget Parameters'!I406</f>
        <v>3000</v>
      </c>
      <c r="J110" s="82">
        <f>'11 EXS 1-9 Budget Parameters'!J406</f>
        <v>3000</v>
      </c>
    </row>
    <row r="111" spans="1:10" x14ac:dyDescent="0.2">
      <c r="A111" s="127" t="s">
        <v>195</v>
      </c>
      <c r="B111" s="126">
        <f>'11 EXS 1-9 Budget Parameters'!B410</f>
        <v>5400</v>
      </c>
      <c r="C111" s="126">
        <f>'11 EXS 1-9 Budget Parameters'!C410</f>
        <v>5400</v>
      </c>
      <c r="D111" s="126">
        <f>'11 EXS 1-9 Budget Parameters'!D410</f>
        <v>5400</v>
      </c>
      <c r="E111" s="126">
        <f>'11 EXS 1-9 Budget Parameters'!E410</f>
        <v>9180</v>
      </c>
      <c r="F111" s="126">
        <f>'11 EXS 1-9 Budget Parameters'!F410</f>
        <v>9180</v>
      </c>
      <c r="G111" s="126">
        <f>'11 EXS 1-9 Budget Parameters'!G410</f>
        <v>9180</v>
      </c>
      <c r="H111" s="126">
        <f>'11 EXS 1-9 Budget Parameters'!H410</f>
        <v>14400</v>
      </c>
      <c r="I111" s="126">
        <f>'11 EXS 1-9 Budget Parameters'!I410</f>
        <v>14400</v>
      </c>
      <c r="J111" s="82">
        <f>'11 EXS 1-9 Budget Parameters'!J410</f>
        <v>14400</v>
      </c>
    </row>
    <row r="112" spans="1:10" x14ac:dyDescent="0.2">
      <c r="A112" s="125" t="s">
        <v>196</v>
      </c>
      <c r="B112" s="126">
        <f>ROUND('11 EXS 1-9 Budget Parameters'!B414,0)</f>
        <v>12121</v>
      </c>
      <c r="C112" s="126">
        <f>ROUND('11 EXS 1-9 Budget Parameters'!C414,0)</f>
        <v>12764</v>
      </c>
      <c r="D112" s="126">
        <f>ROUND('11 EXS 1-9 Budget Parameters'!D414,0)</f>
        <v>11907</v>
      </c>
      <c r="E112" s="126">
        <f>ROUND('11 EXS 1-9 Budget Parameters'!E414,0)</f>
        <v>19311</v>
      </c>
      <c r="F112" s="126">
        <f>ROUND('11 EXS 1-9 Budget Parameters'!F414,0)</f>
        <v>22866</v>
      </c>
      <c r="G112" s="126">
        <f>ROUND('11 EXS 1-9 Budget Parameters'!G414,0)</f>
        <v>25112</v>
      </c>
      <c r="H112" s="126">
        <f>ROUND('11 EXS 1-9 Budget Parameters'!H414,0)</f>
        <v>34208</v>
      </c>
      <c r="I112" s="126">
        <f>ROUND('11 EXS 1-9 Budget Parameters'!I414,0)</f>
        <v>36826</v>
      </c>
      <c r="J112" s="82">
        <f>ROUND('11 EXS 1-9 Budget Parameters'!J414,0)</f>
        <v>39711</v>
      </c>
    </row>
    <row r="113" spans="1:10" x14ac:dyDescent="0.2">
      <c r="A113" s="154">
        <f>'11 EXS 1-9 Budget Parameters'!A515</f>
        <v>0</v>
      </c>
      <c r="B113" s="125">
        <f>'11 EXS 1-9 Budget Parameters'!B515</f>
        <v>0</v>
      </c>
      <c r="C113" s="125">
        <f>'11 EXS 1-9 Budget Parameters'!C515</f>
        <v>0</v>
      </c>
      <c r="D113" s="125">
        <f>'11 EXS 1-9 Budget Parameters'!D515</f>
        <v>0</v>
      </c>
      <c r="E113" s="125">
        <f>'11 EXS 1-9 Budget Parameters'!E515</f>
        <v>0</v>
      </c>
      <c r="F113" s="125">
        <f>'11 EXS 1-9 Budget Parameters'!F515</f>
        <v>0</v>
      </c>
      <c r="G113" s="125">
        <f>'11 EXS 1-9 Budget Parameters'!G515</f>
        <v>0</v>
      </c>
      <c r="H113" s="125">
        <f>'11 EXS 1-9 Budget Parameters'!H515</f>
        <v>0</v>
      </c>
      <c r="I113" s="125">
        <f>'11 EXS 1-9 Budget Parameters'!I515</f>
        <v>0</v>
      </c>
      <c r="J113" s="125">
        <f>'11 EXS 1-9 Budget Parameters'!J515</f>
        <v>0</v>
      </c>
    </row>
    <row r="114" spans="1:10" x14ac:dyDescent="0.2">
      <c r="A114" s="154">
        <f>'11 EXS 1-9 Budget Parameters'!A516</f>
        <v>0</v>
      </c>
      <c r="B114" s="125">
        <f>'11 EXS 1-9 Budget Parameters'!B516</f>
        <v>0</v>
      </c>
      <c r="C114" s="125">
        <f>'11 EXS 1-9 Budget Parameters'!C516</f>
        <v>0</v>
      </c>
      <c r="D114" s="125">
        <f>'11 EXS 1-9 Budget Parameters'!D516</f>
        <v>0</v>
      </c>
      <c r="E114" s="125">
        <f>'11 EXS 1-9 Budget Parameters'!E516</f>
        <v>0</v>
      </c>
      <c r="F114" s="125">
        <f>'11 EXS 1-9 Budget Parameters'!F516</f>
        <v>0</v>
      </c>
      <c r="G114" s="125">
        <f>'11 EXS 1-9 Budget Parameters'!G516</f>
        <v>0</v>
      </c>
      <c r="H114" s="125">
        <f>'11 EXS 1-9 Budget Parameters'!H516</f>
        <v>0</v>
      </c>
      <c r="I114" s="125">
        <f>'11 EXS 1-9 Budget Parameters'!I516</f>
        <v>0</v>
      </c>
      <c r="J114" s="125">
        <f>'11 EXS 1-9 Budget Parameters'!J516</f>
        <v>0</v>
      </c>
    </row>
    <row r="115" spans="1:10" x14ac:dyDescent="0.2">
      <c r="A115" s="154">
        <f>'11 EXS 1-9 Budget Parameters'!A517</f>
        <v>0</v>
      </c>
      <c r="B115" s="125">
        <f>'11 EXS 1-9 Budget Parameters'!B517</f>
        <v>0</v>
      </c>
      <c r="C115" s="125">
        <f>'11 EXS 1-9 Budget Parameters'!C517</f>
        <v>0</v>
      </c>
      <c r="D115" s="125">
        <f>'11 EXS 1-9 Budget Parameters'!D517</f>
        <v>0</v>
      </c>
      <c r="E115" s="125">
        <f>'11 EXS 1-9 Budget Parameters'!E517</f>
        <v>0</v>
      </c>
      <c r="F115" s="125">
        <f>'11 EXS 1-9 Budget Parameters'!F517</f>
        <v>0</v>
      </c>
      <c r="G115" s="125">
        <f>'11 EXS 1-9 Budget Parameters'!G517</f>
        <v>0</v>
      </c>
      <c r="H115" s="125">
        <f>'11 EXS 1-9 Budget Parameters'!H517</f>
        <v>0</v>
      </c>
      <c r="I115" s="125">
        <f>'11 EXS 1-9 Budget Parameters'!I517</f>
        <v>0</v>
      </c>
      <c r="J115" s="125">
        <f>'11 EXS 1-9 Budget Parameters'!J517</f>
        <v>0</v>
      </c>
    </row>
    <row r="116" spans="1:10" x14ac:dyDescent="0.2">
      <c r="A116" s="154">
        <f>'11 EXS 1-9 Budget Parameters'!A518</f>
        <v>0</v>
      </c>
      <c r="B116" s="125">
        <f>'11 EXS 1-9 Budget Parameters'!B518</f>
        <v>0</v>
      </c>
      <c r="C116" s="125">
        <f>'11 EXS 1-9 Budget Parameters'!C518</f>
        <v>0</v>
      </c>
      <c r="D116" s="125">
        <f>'11 EXS 1-9 Budget Parameters'!D518</f>
        <v>0</v>
      </c>
      <c r="E116" s="125">
        <f>'11 EXS 1-9 Budget Parameters'!E518</f>
        <v>0</v>
      </c>
      <c r="F116" s="125">
        <f>'11 EXS 1-9 Budget Parameters'!F518</f>
        <v>0</v>
      </c>
      <c r="G116" s="125">
        <f>'11 EXS 1-9 Budget Parameters'!G518</f>
        <v>0</v>
      </c>
      <c r="H116" s="125">
        <f>'11 EXS 1-9 Budget Parameters'!H518</f>
        <v>0</v>
      </c>
      <c r="I116" s="125">
        <f>'11 EXS 1-9 Budget Parameters'!I518</f>
        <v>0</v>
      </c>
      <c r="J116" s="125">
        <f>'11 EXS 1-9 Budget Parameters'!J518</f>
        <v>0</v>
      </c>
    </row>
    <row r="117" spans="1:10" x14ac:dyDescent="0.2">
      <c r="A117" s="154">
        <f>'11 EXS 1-9 Budget Parameters'!A519</f>
        <v>0</v>
      </c>
      <c r="B117" s="125">
        <f>'11 EXS 1-9 Budget Parameters'!B519</f>
        <v>0</v>
      </c>
      <c r="C117" s="125">
        <f>'11 EXS 1-9 Budget Parameters'!C519</f>
        <v>0</v>
      </c>
      <c r="D117" s="125">
        <f>'11 EXS 1-9 Budget Parameters'!D519</f>
        <v>0</v>
      </c>
      <c r="E117" s="125">
        <f>'11 EXS 1-9 Budget Parameters'!E519</f>
        <v>0</v>
      </c>
      <c r="F117" s="125">
        <f>'11 EXS 1-9 Budget Parameters'!F519</f>
        <v>0</v>
      </c>
      <c r="G117" s="125">
        <f>'11 EXS 1-9 Budget Parameters'!G519</f>
        <v>0</v>
      </c>
      <c r="H117" s="125">
        <f>'11 EXS 1-9 Budget Parameters'!H519</f>
        <v>0</v>
      </c>
      <c r="I117" s="125">
        <f>'11 EXS 1-9 Budget Parameters'!I519</f>
        <v>0</v>
      </c>
      <c r="J117" s="125">
        <f>'11 EXS 1-9 Budget Parameters'!J519</f>
        <v>0</v>
      </c>
    </row>
    <row r="118" spans="1:10" x14ac:dyDescent="0.2">
      <c r="A118" s="154">
        <f>'11 EXS 1-9 Budget Parameters'!A520</f>
        <v>0</v>
      </c>
      <c r="B118" s="125">
        <f>'11 EXS 1-9 Budget Parameters'!B520</f>
        <v>0</v>
      </c>
      <c r="C118" s="125">
        <f>'11 EXS 1-9 Budget Parameters'!C520</f>
        <v>0</v>
      </c>
      <c r="D118" s="125">
        <f>'11 EXS 1-9 Budget Parameters'!D520</f>
        <v>0</v>
      </c>
      <c r="E118" s="125">
        <f>'11 EXS 1-9 Budget Parameters'!E520</f>
        <v>0</v>
      </c>
      <c r="F118" s="125">
        <f>'11 EXS 1-9 Budget Parameters'!F520</f>
        <v>0</v>
      </c>
      <c r="G118" s="125">
        <f>'11 EXS 1-9 Budget Parameters'!G520</f>
        <v>0</v>
      </c>
      <c r="H118" s="125">
        <f>'11 EXS 1-9 Budget Parameters'!H520</f>
        <v>0</v>
      </c>
      <c r="I118" s="125">
        <f>'11 EXS 1-9 Budget Parameters'!I520</f>
        <v>0</v>
      </c>
      <c r="J118" s="125">
        <f>'11 EXS 1-9 Budget Parameters'!J520</f>
        <v>0</v>
      </c>
    </row>
    <row r="119" spans="1:10" x14ac:dyDescent="0.2">
      <c r="A119" s="154">
        <f>'11 EXS 1-9 Budget Parameters'!A521</f>
        <v>0</v>
      </c>
      <c r="B119" s="125">
        <f>'11 EXS 1-9 Budget Parameters'!B521</f>
        <v>0</v>
      </c>
      <c r="C119" s="125">
        <f>'11 EXS 1-9 Budget Parameters'!C521</f>
        <v>0</v>
      </c>
      <c r="D119" s="125">
        <f>'11 EXS 1-9 Budget Parameters'!D521</f>
        <v>0</v>
      </c>
      <c r="E119" s="125">
        <f>'11 EXS 1-9 Budget Parameters'!E521</f>
        <v>0</v>
      </c>
      <c r="F119" s="125">
        <f>'11 EXS 1-9 Budget Parameters'!F521</f>
        <v>0</v>
      </c>
      <c r="G119" s="125">
        <f>'11 EXS 1-9 Budget Parameters'!G521</f>
        <v>0</v>
      </c>
      <c r="H119" s="125">
        <f>'11 EXS 1-9 Budget Parameters'!H521</f>
        <v>0</v>
      </c>
      <c r="I119" s="125">
        <f>'11 EXS 1-9 Budget Parameters'!I521</f>
        <v>0</v>
      </c>
      <c r="J119" s="125">
        <f>'11 EXS 1-9 Budget Parameters'!J521</f>
        <v>0</v>
      </c>
    </row>
    <row r="120" spans="1:10" x14ac:dyDescent="0.2">
      <c r="A120" s="154">
        <f>'11 EXS 1-9 Budget Parameters'!A522</f>
        <v>0</v>
      </c>
      <c r="B120" s="125">
        <f>'11 EXS 1-9 Budget Parameters'!B522</f>
        <v>0</v>
      </c>
      <c r="C120" s="125">
        <f>'11 EXS 1-9 Budget Parameters'!C522</f>
        <v>0</v>
      </c>
      <c r="D120" s="125">
        <f>'11 EXS 1-9 Budget Parameters'!D522</f>
        <v>0</v>
      </c>
      <c r="E120" s="125">
        <f>'11 EXS 1-9 Budget Parameters'!E522</f>
        <v>0</v>
      </c>
      <c r="F120" s="125">
        <f>'11 EXS 1-9 Budget Parameters'!F522</f>
        <v>0</v>
      </c>
      <c r="G120" s="125">
        <f>'11 EXS 1-9 Budget Parameters'!G522</f>
        <v>0</v>
      </c>
      <c r="H120" s="125">
        <f>'11 EXS 1-9 Budget Parameters'!H522</f>
        <v>0</v>
      </c>
      <c r="I120" s="125">
        <f>'11 EXS 1-9 Budget Parameters'!I522</f>
        <v>0</v>
      </c>
      <c r="J120" s="125">
        <f>'11 EXS 1-9 Budget Parameters'!J522</f>
        <v>0</v>
      </c>
    </row>
    <row r="121" spans="1:10" x14ac:dyDescent="0.2">
      <c r="A121" s="125"/>
      <c r="B121" s="128"/>
      <c r="C121" s="128"/>
      <c r="D121" s="128"/>
      <c r="E121" s="128"/>
      <c r="F121" s="128"/>
      <c r="G121" s="128"/>
      <c r="H121" s="128"/>
      <c r="I121" s="128"/>
      <c r="J121" s="72"/>
    </row>
    <row r="122" spans="1:10" x14ac:dyDescent="0.2">
      <c r="A122" s="125"/>
      <c r="B122" s="128"/>
      <c r="C122" s="128"/>
      <c r="D122" s="128"/>
      <c r="E122" s="128"/>
      <c r="F122" s="128"/>
      <c r="G122" s="128"/>
      <c r="H122" s="128"/>
      <c r="I122" s="128"/>
      <c r="J122" s="72"/>
    </row>
    <row r="123" spans="1:10" x14ac:dyDescent="0.2">
      <c r="A123" s="38"/>
      <c r="B123" s="128"/>
      <c r="C123" s="128"/>
      <c r="D123" s="128"/>
      <c r="E123" s="128"/>
      <c r="F123" s="128"/>
      <c r="G123" s="128"/>
      <c r="H123" s="128"/>
      <c r="I123" s="128"/>
      <c r="J123" s="72"/>
    </row>
    <row r="124" spans="1:10" x14ac:dyDescent="0.2">
      <c r="A124" s="125" t="s">
        <v>641</v>
      </c>
      <c r="B124" s="126">
        <f t="shared" ref="B124:J124" si="3">ROUND(SUM(B97:B112),0)</f>
        <v>218276</v>
      </c>
      <c r="C124" s="126">
        <f t="shared" si="3"/>
        <v>259640</v>
      </c>
      <c r="D124" s="126">
        <f t="shared" si="3"/>
        <v>299093</v>
      </c>
      <c r="E124" s="126">
        <f t="shared" si="3"/>
        <v>413988</v>
      </c>
      <c r="F124" s="126">
        <f t="shared" si="3"/>
        <v>480190</v>
      </c>
      <c r="G124" s="126">
        <f t="shared" si="3"/>
        <v>527347</v>
      </c>
      <c r="H124" s="126">
        <f t="shared" si="3"/>
        <v>718374</v>
      </c>
      <c r="I124" s="126">
        <f t="shared" si="3"/>
        <v>773353</v>
      </c>
      <c r="J124" s="82">
        <f t="shared" si="3"/>
        <v>833939</v>
      </c>
    </row>
    <row r="125" spans="1:10" x14ac:dyDescent="0.2">
      <c r="A125" s="125" t="s">
        <v>386</v>
      </c>
      <c r="B125" s="126">
        <f>'11 EXS 1-9 Budget Parameters'!B508</f>
        <v>84941</v>
      </c>
      <c r="C125" s="126">
        <f>'11 EXS 1-9 Budget Parameters'!C508</f>
        <v>87330</v>
      </c>
      <c r="D125" s="126">
        <f>'11 EXS 1-9 Budget Parameters'!D508</f>
        <v>88738</v>
      </c>
      <c r="E125" s="126">
        <f>'11 EXS 1-9 Budget Parameters'!E508</f>
        <v>8453</v>
      </c>
      <c r="F125" s="126">
        <f>'11 EXS 1-9 Budget Parameters'!F508</f>
        <v>0</v>
      </c>
      <c r="G125" s="126">
        <f>'11 EXS 1-9 Budget Parameters'!G508</f>
        <v>0</v>
      </c>
      <c r="H125" s="126">
        <f>'11 EXS 1-9 Budget Parameters'!H508</f>
        <v>0</v>
      </c>
      <c r="I125" s="126">
        <f>'11 EXS 1-9 Budget Parameters'!I508</f>
        <v>0</v>
      </c>
      <c r="J125" s="82">
        <f>'11 EXS 1-9 Budget Parameters'!J508</f>
        <v>0</v>
      </c>
    </row>
    <row r="126" spans="1:10" ht="12" customHeight="1" x14ac:dyDescent="0.2">
      <c r="A126" s="51" t="s">
        <v>642</v>
      </c>
      <c r="B126" s="157">
        <f t="shared" ref="B126:J126" si="4">ROUND(B124-B125,0)</f>
        <v>133335</v>
      </c>
      <c r="C126" s="40">
        <f t="shared" si="4"/>
        <v>172310</v>
      </c>
      <c r="D126" s="157">
        <f t="shared" si="4"/>
        <v>210355</v>
      </c>
      <c r="E126" s="40">
        <f t="shared" si="4"/>
        <v>405535</v>
      </c>
      <c r="F126" s="157">
        <f t="shared" si="4"/>
        <v>480190</v>
      </c>
      <c r="G126" s="40">
        <f t="shared" si="4"/>
        <v>527347</v>
      </c>
      <c r="H126" s="157">
        <f t="shared" si="4"/>
        <v>718374</v>
      </c>
      <c r="I126" s="40">
        <f t="shared" si="4"/>
        <v>773353</v>
      </c>
      <c r="J126" s="158">
        <f t="shared" si="4"/>
        <v>833939</v>
      </c>
    </row>
    <row r="127" spans="1:10" ht="13.5" thickBot="1" x14ac:dyDescent="0.25">
      <c r="A127" s="41"/>
      <c r="B127" s="159"/>
      <c r="C127" s="52"/>
      <c r="D127" s="159"/>
      <c r="E127" s="52"/>
      <c r="F127" s="159"/>
      <c r="G127" s="52"/>
      <c r="H127" s="159"/>
      <c r="I127" s="52"/>
      <c r="J127" s="81"/>
    </row>
    <row r="128" spans="1:10" ht="13.5" thickTop="1" x14ac:dyDescent="0.2">
      <c r="A128" s="39"/>
      <c r="B128" s="40"/>
      <c r="C128" s="40"/>
      <c r="D128" s="40"/>
      <c r="E128" s="40"/>
      <c r="F128" s="40"/>
      <c r="G128" s="40"/>
      <c r="H128" s="40"/>
      <c r="I128" s="40"/>
      <c r="J128" s="40"/>
    </row>
    <row r="129" spans="1:10" s="124" customFormat="1" x14ac:dyDescent="0.2">
      <c r="A129" s="122" t="s">
        <v>633</v>
      </c>
      <c r="B129" s="40"/>
      <c r="C129" s="40"/>
      <c r="D129" s="40"/>
      <c r="E129" s="40"/>
      <c r="F129" s="40"/>
      <c r="G129" s="40"/>
      <c r="H129" s="40"/>
      <c r="I129" s="40"/>
      <c r="J129" s="40"/>
    </row>
    <row r="130" spans="1:10" x14ac:dyDescent="0.2">
      <c r="A130" s="38" t="s">
        <v>237</v>
      </c>
      <c r="B130" s="481">
        <f t="shared" ref="B130:J130" si="5">ROUND(B97,0)</f>
        <v>124904</v>
      </c>
      <c r="C130" s="481">
        <f t="shared" si="5"/>
        <v>126752</v>
      </c>
      <c r="D130" s="481">
        <f t="shared" si="5"/>
        <v>126752</v>
      </c>
      <c r="E130" s="481">
        <f t="shared" si="5"/>
        <v>171594</v>
      </c>
      <c r="F130" s="481">
        <f t="shared" si="5"/>
        <v>171594</v>
      </c>
      <c r="G130" s="481">
        <f t="shared" si="5"/>
        <v>171594</v>
      </c>
      <c r="H130" s="481">
        <f t="shared" si="5"/>
        <v>267602</v>
      </c>
      <c r="I130" s="481">
        <f t="shared" si="5"/>
        <v>276182</v>
      </c>
      <c r="J130" s="481">
        <f t="shared" si="5"/>
        <v>285127</v>
      </c>
    </row>
    <row r="131" spans="1:10" x14ac:dyDescent="0.2">
      <c r="A131" s="27" t="s">
        <v>238</v>
      </c>
      <c r="B131" s="42">
        <f t="shared" ref="B131:J131" si="6">ROUND(B98,0)</f>
        <v>4025</v>
      </c>
      <c r="C131" s="42">
        <f t="shared" si="6"/>
        <v>10063</v>
      </c>
      <c r="D131" s="42">
        <f t="shared" si="6"/>
        <v>16100</v>
      </c>
      <c r="E131" s="42">
        <f t="shared" si="6"/>
        <v>28175</v>
      </c>
      <c r="F131" s="42">
        <f t="shared" si="6"/>
        <v>51750</v>
      </c>
      <c r="G131" s="42">
        <f t="shared" si="6"/>
        <v>57500</v>
      </c>
      <c r="H131" s="42">
        <f t="shared" si="6"/>
        <v>69000</v>
      </c>
      <c r="I131" s="42">
        <f t="shared" si="6"/>
        <v>74750</v>
      </c>
      <c r="J131" s="42">
        <f t="shared" si="6"/>
        <v>74750</v>
      </c>
    </row>
    <row r="132" spans="1:10" x14ac:dyDescent="0.2">
      <c r="A132" s="27" t="s">
        <v>240</v>
      </c>
      <c r="B132" s="40">
        <f t="shared" ref="B132:J132" si="7">ROUND(SUM(B130:B131),0)</f>
        <v>128929</v>
      </c>
      <c r="C132" s="40">
        <f t="shared" si="7"/>
        <v>136815</v>
      </c>
      <c r="D132" s="40">
        <f t="shared" si="7"/>
        <v>142852</v>
      </c>
      <c r="E132" s="40">
        <f t="shared" si="7"/>
        <v>199769</v>
      </c>
      <c r="F132" s="40">
        <f t="shared" si="7"/>
        <v>223344</v>
      </c>
      <c r="G132" s="40">
        <f t="shared" si="7"/>
        <v>229094</v>
      </c>
      <c r="H132" s="40">
        <f t="shared" si="7"/>
        <v>336602</v>
      </c>
      <c r="I132" s="40">
        <f t="shared" si="7"/>
        <v>350932</v>
      </c>
      <c r="J132" s="40">
        <f t="shared" si="7"/>
        <v>359877</v>
      </c>
    </row>
    <row r="134" spans="1:10" x14ac:dyDescent="0.2">
      <c r="A134" s="27" t="s">
        <v>239</v>
      </c>
      <c r="B134" s="42">
        <f>'11 EXS 1-9 Budget Parameters'!B508</f>
        <v>84941</v>
      </c>
      <c r="C134" s="42">
        <f>'11 EXS 1-9 Budget Parameters'!C508</f>
        <v>87330</v>
      </c>
      <c r="D134" s="42">
        <f>'11 EXS 1-9 Budget Parameters'!D508</f>
        <v>88738</v>
      </c>
      <c r="E134" s="42">
        <f>'11 EXS 1-9 Budget Parameters'!E508</f>
        <v>8453</v>
      </c>
      <c r="F134" s="42">
        <f>'11 EXS 1-9 Budget Parameters'!F508</f>
        <v>0</v>
      </c>
      <c r="G134" s="42">
        <f>'11 EXS 1-9 Budget Parameters'!G508</f>
        <v>0</v>
      </c>
      <c r="H134" s="42">
        <f>'11 EXS 1-9 Budget Parameters'!H508</f>
        <v>0</v>
      </c>
      <c r="I134" s="42">
        <f>'11 EXS 1-9 Budget Parameters'!I508</f>
        <v>0</v>
      </c>
      <c r="J134" s="42">
        <f>'11 EXS 1-9 Budget Parameters'!J508</f>
        <v>0</v>
      </c>
    </row>
    <row r="135" spans="1:10" x14ac:dyDescent="0.2">
      <c r="B135" s="40"/>
      <c r="C135" s="40"/>
      <c r="D135" s="40"/>
      <c r="E135" s="40"/>
      <c r="F135" s="40"/>
      <c r="G135" s="40"/>
      <c r="H135" s="40"/>
      <c r="I135" s="40"/>
      <c r="J135" s="40"/>
    </row>
    <row r="136" spans="1:10" s="39" customFormat="1" x14ac:dyDescent="0.2">
      <c r="A136" s="39" t="s">
        <v>241</v>
      </c>
      <c r="B136" s="40">
        <f t="shared" ref="B136:J136" si="8">ROUND(B132-B134,0)</f>
        <v>43988</v>
      </c>
      <c r="C136" s="40">
        <f t="shared" si="8"/>
        <v>49485</v>
      </c>
      <c r="D136" s="40">
        <f t="shared" si="8"/>
        <v>54114</v>
      </c>
      <c r="E136" s="40">
        <f t="shared" si="8"/>
        <v>191316</v>
      </c>
      <c r="F136" s="40">
        <f t="shared" si="8"/>
        <v>223344</v>
      </c>
      <c r="G136" s="40">
        <f t="shared" si="8"/>
        <v>229094</v>
      </c>
      <c r="H136" s="40">
        <f t="shared" si="8"/>
        <v>336602</v>
      </c>
      <c r="I136" s="40">
        <f t="shared" si="8"/>
        <v>350932</v>
      </c>
      <c r="J136" s="40">
        <f t="shared" si="8"/>
        <v>359877</v>
      </c>
    </row>
    <row r="137" spans="1:10" ht="13.5" thickBot="1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</row>
    <row r="138" spans="1:10" ht="13.5" thickTop="1" x14ac:dyDescent="0.2"/>
    <row r="139" spans="1:10" x14ac:dyDescent="0.2">
      <c r="A139" s="35" t="s">
        <v>261</v>
      </c>
      <c r="B139" s="30">
        <f t="shared" ref="B139:J139" si="9">ROUND(B134/B132,3)</f>
        <v>0.65900000000000003</v>
      </c>
      <c r="C139" s="30">
        <f t="shared" si="9"/>
        <v>0.63800000000000001</v>
      </c>
      <c r="D139" s="30">
        <f t="shared" si="9"/>
        <v>0.621</v>
      </c>
      <c r="E139" s="30">
        <f t="shared" si="9"/>
        <v>4.2000000000000003E-2</v>
      </c>
      <c r="F139" s="30">
        <f t="shared" si="9"/>
        <v>0</v>
      </c>
      <c r="G139" s="30">
        <f t="shared" si="9"/>
        <v>0</v>
      </c>
      <c r="H139" s="30">
        <f t="shared" si="9"/>
        <v>0</v>
      </c>
      <c r="I139" s="30">
        <f t="shared" si="9"/>
        <v>0</v>
      </c>
      <c r="J139" s="30">
        <f t="shared" si="9"/>
        <v>0</v>
      </c>
    </row>
    <row r="140" spans="1:10" x14ac:dyDescent="0.2">
      <c r="A140" s="35" t="s">
        <v>262</v>
      </c>
      <c r="B140" s="30">
        <f t="shared" ref="B140:J140" si="10">ROUND(B136/B132,3)</f>
        <v>0.34100000000000003</v>
      </c>
      <c r="C140" s="30">
        <f t="shared" si="10"/>
        <v>0.36199999999999999</v>
      </c>
      <c r="D140" s="30">
        <f t="shared" si="10"/>
        <v>0.379</v>
      </c>
      <c r="E140" s="30">
        <f t="shared" si="10"/>
        <v>0.95799999999999996</v>
      </c>
      <c r="F140" s="30">
        <f t="shared" si="10"/>
        <v>1</v>
      </c>
      <c r="G140" s="30">
        <f t="shared" si="10"/>
        <v>1</v>
      </c>
      <c r="H140" s="30">
        <f t="shared" si="10"/>
        <v>1</v>
      </c>
      <c r="I140" s="30">
        <f t="shared" si="10"/>
        <v>1</v>
      </c>
      <c r="J140" s="30">
        <f t="shared" si="10"/>
        <v>1</v>
      </c>
    </row>
    <row r="141" spans="1:10" ht="13.5" thickBot="1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41"/>
    </row>
    <row r="142" spans="1:10" ht="13.5" thickTop="1" x14ac:dyDescent="0.2"/>
    <row r="143" spans="1:10" ht="25.5" x14ac:dyDescent="0.2">
      <c r="A143" s="35" t="s">
        <v>242</v>
      </c>
      <c r="B143" s="30">
        <f t="shared" ref="B143:J143" si="11">ROUND(B134/B124,3)</f>
        <v>0.38900000000000001</v>
      </c>
      <c r="C143" s="30">
        <f t="shared" si="11"/>
        <v>0.33600000000000002</v>
      </c>
      <c r="D143" s="30">
        <f t="shared" si="11"/>
        <v>0.29699999999999999</v>
      </c>
      <c r="E143" s="30">
        <f t="shared" si="11"/>
        <v>0.02</v>
      </c>
      <c r="F143" s="30">
        <f t="shared" si="11"/>
        <v>0</v>
      </c>
      <c r="G143" s="30">
        <f t="shared" si="11"/>
        <v>0</v>
      </c>
      <c r="H143" s="30">
        <f t="shared" si="11"/>
        <v>0</v>
      </c>
      <c r="I143" s="30">
        <f t="shared" si="11"/>
        <v>0</v>
      </c>
      <c r="J143" s="30">
        <f t="shared" si="11"/>
        <v>0</v>
      </c>
    </row>
    <row r="144" spans="1:10" ht="25.5" x14ac:dyDescent="0.2">
      <c r="A144" s="35" t="s">
        <v>243</v>
      </c>
      <c r="B144" s="30">
        <f t="shared" ref="B144:J144" si="12">ROUND(B136/B124,3)</f>
        <v>0.20200000000000001</v>
      </c>
      <c r="C144" s="30">
        <f t="shared" si="12"/>
        <v>0.191</v>
      </c>
      <c r="D144" s="30">
        <f t="shared" si="12"/>
        <v>0.18099999999999999</v>
      </c>
      <c r="E144" s="30">
        <f t="shared" si="12"/>
        <v>0.46200000000000002</v>
      </c>
      <c r="F144" s="30">
        <f t="shared" si="12"/>
        <v>0.46500000000000002</v>
      </c>
      <c r="G144" s="30">
        <f t="shared" si="12"/>
        <v>0.434</v>
      </c>
      <c r="H144" s="30">
        <f t="shared" si="12"/>
        <v>0.46899999999999997</v>
      </c>
      <c r="I144" s="30">
        <f t="shared" si="12"/>
        <v>0.45400000000000001</v>
      </c>
      <c r="J144" s="30">
        <f t="shared" si="12"/>
        <v>0.432</v>
      </c>
    </row>
    <row r="145" spans="1:10" ht="13.5" thickBot="1" x14ac:dyDescent="0.25">
      <c r="A145" s="41"/>
      <c r="B145" s="41"/>
      <c r="C145" s="41"/>
      <c r="D145" s="41"/>
      <c r="E145" s="41"/>
      <c r="F145" s="41"/>
      <c r="G145" s="41"/>
      <c r="H145" s="41"/>
      <c r="I145" s="41"/>
      <c r="J145" s="41"/>
    </row>
    <row r="146" spans="1:10" ht="13.5" thickTop="1" x14ac:dyDescent="0.2"/>
    <row r="147" spans="1:10" x14ac:dyDescent="0.2">
      <c r="A147" s="123" t="s">
        <v>634</v>
      </c>
    </row>
    <row r="148" spans="1:10" x14ac:dyDescent="0.2">
      <c r="A148" s="38" t="s">
        <v>275</v>
      </c>
      <c r="B148" s="481">
        <f>ROUND('10 EXS 1-9 Budgets'!B136,0)</f>
        <v>43988</v>
      </c>
      <c r="C148" s="481">
        <f>ROUND('10 EXS 1-9 Budgets'!C136,0)</f>
        <v>49485</v>
      </c>
      <c r="D148" s="481">
        <f>ROUND('10 EXS 1-9 Budgets'!D136,0)</f>
        <v>54114</v>
      </c>
      <c r="E148" s="481">
        <f>ROUND('10 EXS 1-9 Budgets'!E136,0)</f>
        <v>191316</v>
      </c>
      <c r="F148" s="481">
        <f>ROUND('10 EXS 1-9 Budgets'!F136,0)</f>
        <v>223344</v>
      </c>
      <c r="G148" s="481">
        <f>ROUND('10 EXS 1-9 Budgets'!G136,0)</f>
        <v>229094</v>
      </c>
      <c r="H148" s="481">
        <f>ROUND('10 EXS 1-9 Budgets'!H136,0)</f>
        <v>336602</v>
      </c>
      <c r="I148" s="481">
        <f>ROUND('10 EXS 1-9 Budgets'!I136,0)</f>
        <v>350932</v>
      </c>
      <c r="J148" s="481">
        <f>ROUND('10 EXS 1-9 Budgets'!J136,0)</f>
        <v>359877</v>
      </c>
    </row>
    <row r="149" spans="1:10" x14ac:dyDescent="0.2">
      <c r="A149" s="35" t="s">
        <v>387</v>
      </c>
      <c r="B149" s="42">
        <f>ROUND(SUM('10 EXS 1-9 Budgets'!B99:B122),0)</f>
        <v>89347</v>
      </c>
      <c r="C149" s="42">
        <f>ROUND(SUM('10 EXS 1-9 Budgets'!C99:C122),0)</f>
        <v>122825</v>
      </c>
      <c r="D149" s="42">
        <f>ROUND(SUM('10 EXS 1-9 Budgets'!D99:D122),0)</f>
        <v>156241</v>
      </c>
      <c r="E149" s="42">
        <f>ROUND(SUM('10 EXS 1-9 Budgets'!E99:E122),0)</f>
        <v>214219</v>
      </c>
      <c r="F149" s="42">
        <f>ROUND(SUM('10 EXS 1-9 Budgets'!F99:F122),0)</f>
        <v>256846</v>
      </c>
      <c r="G149" s="42">
        <f>ROUND(SUM('10 EXS 1-9 Budgets'!G99:G122),0)</f>
        <v>298253</v>
      </c>
      <c r="H149" s="42">
        <f>ROUND(SUM('10 EXS 1-9 Budgets'!H99:H122),0)</f>
        <v>381772</v>
      </c>
      <c r="I149" s="42">
        <f>ROUND(SUM('10 EXS 1-9 Budgets'!I99:I122),0)</f>
        <v>422421</v>
      </c>
      <c r="J149" s="42">
        <f>ROUND(SUM('10 EXS 1-9 Budgets'!J99:J122),0)</f>
        <v>474062</v>
      </c>
    </row>
    <row r="150" spans="1:10" x14ac:dyDescent="0.2">
      <c r="A150" s="39"/>
      <c r="B150" s="40"/>
      <c r="C150" s="40"/>
      <c r="D150" s="40"/>
      <c r="E150" s="40"/>
      <c r="F150" s="40"/>
      <c r="G150" s="40"/>
      <c r="H150" s="40"/>
      <c r="I150" s="40"/>
      <c r="J150" s="40"/>
    </row>
    <row r="151" spans="1:10" s="39" customFormat="1" ht="13.9" customHeight="1" x14ac:dyDescent="0.2">
      <c r="A151" s="51" t="s">
        <v>389</v>
      </c>
      <c r="B151" s="40">
        <f t="shared" ref="B151:J151" si="13">SUM(B148:B149)</f>
        <v>133335</v>
      </c>
      <c r="C151" s="40">
        <f t="shared" si="13"/>
        <v>172310</v>
      </c>
      <c r="D151" s="40">
        <f t="shared" si="13"/>
        <v>210355</v>
      </c>
      <c r="E151" s="40">
        <f t="shared" si="13"/>
        <v>405535</v>
      </c>
      <c r="F151" s="40">
        <f t="shared" si="13"/>
        <v>480190</v>
      </c>
      <c r="G151" s="40">
        <f t="shared" si="13"/>
        <v>527347</v>
      </c>
      <c r="H151" s="40">
        <f t="shared" si="13"/>
        <v>718374</v>
      </c>
      <c r="I151" s="40">
        <f t="shared" si="13"/>
        <v>773353</v>
      </c>
      <c r="J151" s="40">
        <f t="shared" si="13"/>
        <v>833939</v>
      </c>
    </row>
    <row r="152" spans="1:10" x14ac:dyDescent="0.2">
      <c r="A152" s="35" t="s">
        <v>388</v>
      </c>
      <c r="B152" s="42">
        <f>'10 EXS 1-9 Budgets'!B88</f>
        <v>110770</v>
      </c>
      <c r="C152" s="42">
        <f>'10 EXS 1-9 Budgets'!C88</f>
        <v>201946</v>
      </c>
      <c r="D152" s="42">
        <f>'10 EXS 1-9 Budgets'!D88</f>
        <v>301412</v>
      </c>
      <c r="E152" s="42">
        <f>'10 EXS 1-9 Budgets'!E88</f>
        <v>280620</v>
      </c>
      <c r="F152" s="42">
        <f>'10 EXS 1-9 Budgets'!F88</f>
        <v>333602</v>
      </c>
      <c r="G152" s="42">
        <f>'10 EXS 1-9 Budgets'!G88</f>
        <v>409129</v>
      </c>
      <c r="H152" s="42">
        <f>'10 EXS 1-9 Budgets'!H88</f>
        <v>457646</v>
      </c>
      <c r="I152" s="42">
        <f>'10 EXS 1-9 Budgets'!I88</f>
        <v>486727</v>
      </c>
      <c r="J152" s="42">
        <f>'10 EXS 1-9 Budgets'!J88</f>
        <v>574726</v>
      </c>
    </row>
    <row r="153" spans="1:10" s="39" customFormat="1" x14ac:dyDescent="0.2">
      <c r="A153" s="51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25.15" customHeight="1" x14ac:dyDescent="0.2">
      <c r="A154" s="35" t="s">
        <v>276</v>
      </c>
      <c r="B154" s="34">
        <f t="shared" ref="B154:J154" si="14">SUM(B151:B152)</f>
        <v>244105</v>
      </c>
      <c r="C154" s="34">
        <f t="shared" si="14"/>
        <v>374256</v>
      </c>
      <c r="D154" s="34">
        <f t="shared" si="14"/>
        <v>511767</v>
      </c>
      <c r="E154" s="34">
        <f t="shared" si="14"/>
        <v>686155</v>
      </c>
      <c r="F154" s="34">
        <f t="shared" si="14"/>
        <v>813792</v>
      </c>
      <c r="G154" s="34">
        <f t="shared" si="14"/>
        <v>936476</v>
      </c>
      <c r="H154" s="34">
        <f t="shared" si="14"/>
        <v>1176020</v>
      </c>
      <c r="I154" s="34">
        <f t="shared" si="14"/>
        <v>1260080</v>
      </c>
      <c r="J154" s="34">
        <f t="shared" si="14"/>
        <v>1408665</v>
      </c>
    </row>
    <row r="155" spans="1:10" ht="13.5" thickBot="1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</row>
    <row r="156" spans="1:10" ht="13.5" thickTop="1" x14ac:dyDescent="0.2"/>
    <row r="157" spans="1:10" s="124" customFormat="1" x14ac:dyDescent="0.2">
      <c r="A157" s="123" t="s">
        <v>635</v>
      </c>
    </row>
    <row r="158" spans="1:10" x14ac:dyDescent="0.2">
      <c r="A158" s="38" t="s">
        <v>244</v>
      </c>
      <c r="B158" s="38"/>
      <c r="C158" s="38"/>
      <c r="D158" s="38"/>
      <c r="E158" s="38"/>
      <c r="F158" s="38"/>
      <c r="G158" s="38"/>
      <c r="H158" s="38"/>
      <c r="I158" s="38"/>
      <c r="J158" s="38"/>
    </row>
    <row r="159" spans="1:10" x14ac:dyDescent="0.2">
      <c r="A159" s="37" t="s">
        <v>399</v>
      </c>
      <c r="B159" s="34">
        <f>'11 EXS 1-9 Budget Parameters'!B573</f>
        <v>57397</v>
      </c>
      <c r="C159" s="34">
        <f>'11 EXS 1-9 Budget Parameters'!C573</f>
        <v>114792</v>
      </c>
      <c r="D159" s="34">
        <f>'11 EXS 1-9 Budget Parameters'!D573</f>
        <v>171993</v>
      </c>
      <c r="E159" s="34">
        <f>'11 EXS 1-9 Budget Parameters'!E573</f>
        <v>195119</v>
      </c>
      <c r="F159" s="34">
        <f>'11 EXS 1-9 Budget Parameters'!F573</f>
        <v>215256</v>
      </c>
      <c r="G159" s="34">
        <f>'11 EXS 1-9 Budget Parameters'!G573</f>
        <v>240924</v>
      </c>
      <c r="H159" s="34">
        <f>'11 EXS 1-9 Budget Parameters'!H573</f>
        <v>243829</v>
      </c>
      <c r="I159" s="34">
        <f>'11 EXS 1-9 Budget Parameters'!I573</f>
        <v>278602</v>
      </c>
      <c r="J159" s="34">
        <f>'11 EXS 1-9 Budget Parameters'!J573</f>
        <v>313487</v>
      </c>
    </row>
    <row r="160" spans="1:10" x14ac:dyDescent="0.2">
      <c r="A160" s="37" t="s">
        <v>398</v>
      </c>
      <c r="B160" s="34">
        <f>'11 EXS 1-9 Budget Parameters'!B574</f>
        <v>30592</v>
      </c>
      <c r="C160" s="34">
        <f>'11 EXS 1-9 Budget Parameters'!C574</f>
        <v>61184</v>
      </c>
      <c r="D160" s="34">
        <f>'11 EXS 1-9 Budget Parameters'!D574</f>
        <v>91687</v>
      </c>
      <c r="E160" s="34">
        <f>'11 EXS 1-9 Budget Parameters'!E574</f>
        <v>104147</v>
      </c>
      <c r="F160" s="34">
        <f>'11 EXS 1-9 Budget Parameters'!F574</f>
        <v>114955</v>
      </c>
      <c r="G160" s="34">
        <f>'11 EXS 1-9 Budget Parameters'!G574</f>
        <v>128398</v>
      </c>
      <c r="H160" s="34">
        <f>'11 EXS 1-9 Budget Parameters'!H574</f>
        <v>130229</v>
      </c>
      <c r="I160" s="34">
        <f>'11 EXS 1-9 Budget Parameters'!I574</f>
        <v>148807</v>
      </c>
      <c r="J160" s="34">
        <f>'11 EXS 1-9 Budget Parameters'!J574</f>
        <v>167430</v>
      </c>
    </row>
    <row r="161" spans="1:10" x14ac:dyDescent="0.2">
      <c r="A161" s="37" t="s">
        <v>665</v>
      </c>
      <c r="B161" s="34">
        <f>'11 EXS 1-9 Budget Parameters'!B575</f>
        <v>0</v>
      </c>
      <c r="C161" s="34">
        <f>'11 EXS 1-9 Budget Parameters'!C575</f>
        <v>0</v>
      </c>
      <c r="D161" s="34">
        <f>'11 EXS 1-9 Budget Parameters'!D575</f>
        <v>0</v>
      </c>
      <c r="E161" s="34">
        <f>'11 EXS 1-9 Budget Parameters'!E575</f>
        <v>36639</v>
      </c>
      <c r="F161" s="34">
        <f>'11 EXS 1-9 Budget Parameters'!F575</f>
        <v>68727</v>
      </c>
      <c r="G161" s="34">
        <f>'11 EXS 1-9 Budget Parameters'!G575</f>
        <v>98942</v>
      </c>
      <c r="H161" s="34">
        <f>'11 EXS 1-9 Budget Parameters'!H575</f>
        <v>131699</v>
      </c>
      <c r="I161" s="34">
        <f>'11 EXS 1-9 Budget Parameters'!I575</f>
        <v>150470</v>
      </c>
      <c r="J161" s="34">
        <f>'11 EXS 1-9 Budget Parameters'!J575</f>
        <v>169308</v>
      </c>
    </row>
    <row r="162" spans="1:10" x14ac:dyDescent="0.2">
      <c r="A162" s="37" t="s">
        <v>663</v>
      </c>
      <c r="B162" s="34">
        <f>'11 EXS 1-9 Budget Parameters'!B576</f>
        <v>0</v>
      </c>
      <c r="C162" s="34">
        <f>'11 EXS 1-9 Budget Parameters'!C576</f>
        <v>0</v>
      </c>
      <c r="D162" s="34">
        <f>'11 EXS 1-9 Budget Parameters'!D576</f>
        <v>0</v>
      </c>
      <c r="E162" s="34">
        <f>'11 EXS 1-9 Budget Parameters'!E576</f>
        <v>40278</v>
      </c>
      <c r="F162" s="34">
        <f>'11 EXS 1-9 Budget Parameters'!F576</f>
        <v>100622</v>
      </c>
      <c r="G162" s="34">
        <f>'11 EXS 1-9 Budget Parameters'!G576</f>
        <v>144942</v>
      </c>
      <c r="H162" s="34">
        <f>'11 EXS 1-9 Budget Parameters'!H576</f>
        <v>170961</v>
      </c>
      <c r="I162" s="34">
        <f>'11 EXS 1-9 Budget Parameters'!I576</f>
        <v>195290</v>
      </c>
      <c r="J162" s="34">
        <f>'11 EXS 1-9 Budget Parameters'!J576</f>
        <v>219765</v>
      </c>
    </row>
    <row r="163" spans="1:10" x14ac:dyDescent="0.2">
      <c r="A163" s="37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x14ac:dyDescent="0.2">
      <c r="A164" s="37"/>
      <c r="B164" s="34"/>
      <c r="C164" s="34"/>
      <c r="D164" s="34"/>
      <c r="E164" s="34"/>
      <c r="F164" s="34"/>
      <c r="G164" s="34"/>
      <c r="H164" s="34"/>
      <c r="I164" s="34"/>
      <c r="J164" s="34"/>
    </row>
    <row r="166" spans="1:10" x14ac:dyDescent="0.2">
      <c r="A166" s="27" t="s">
        <v>253</v>
      </c>
    </row>
    <row r="167" spans="1:10" x14ac:dyDescent="0.2">
      <c r="A167" s="37" t="s">
        <v>265</v>
      </c>
      <c r="B167" s="34">
        <f>'11 EXS 1-9 Budget Parameters'!B594</f>
        <v>25126</v>
      </c>
      <c r="C167" s="34">
        <f>'11 EXS 1-9 Budget Parameters'!C594</f>
        <v>50252</v>
      </c>
      <c r="D167" s="34">
        <f>'11 EXS 1-9 Budget Parameters'!D594</f>
        <v>75286</v>
      </c>
      <c r="E167" s="34">
        <f>'11 EXS 1-9 Budget Parameters'!E594</f>
        <v>100412</v>
      </c>
      <c r="F167" s="34">
        <f>'11 EXS 1-9 Budget Parameters'!F594</f>
        <v>125537</v>
      </c>
      <c r="G167" s="34">
        <f>'11 EXS 1-9 Budget Parameters'!G594</f>
        <v>150663</v>
      </c>
      <c r="H167" s="34">
        <f>'11 EXS 1-9 Budget Parameters'!H594</f>
        <v>164051</v>
      </c>
      <c r="I167" s="34">
        <f>'11 EXS 1-9 Budget Parameters'!I594</f>
        <v>187435</v>
      </c>
      <c r="J167" s="34">
        <f>'11 EXS 1-9 Budget Parameters'!J594</f>
        <v>210910</v>
      </c>
    </row>
    <row r="168" spans="1:10" x14ac:dyDescent="0.2">
      <c r="A168" s="37" t="s">
        <v>266</v>
      </c>
      <c r="B168" s="34">
        <f>'11 EXS 1-9 Budget Parameters'!B595</f>
        <v>22632</v>
      </c>
      <c r="C168" s="34">
        <f>'11 EXS 1-9 Budget Parameters'!C595</f>
        <v>45265</v>
      </c>
      <c r="D168" s="34">
        <f>'11 EXS 1-9 Budget Parameters'!D595</f>
        <v>67815</v>
      </c>
      <c r="E168" s="34">
        <f>'11 EXS 1-9 Budget Parameters'!E595</f>
        <v>90447</v>
      </c>
      <c r="F168" s="34">
        <f>'11 EXS 1-9 Budget Parameters'!F595</f>
        <v>113079</v>
      </c>
      <c r="G168" s="34">
        <f>'11 EXS 1-9 Budget Parameters'!G595</f>
        <v>135712</v>
      </c>
      <c r="H168" s="34">
        <f>'11 EXS 1-9 Budget Parameters'!H595</f>
        <v>147771</v>
      </c>
      <c r="I168" s="34">
        <f>'11 EXS 1-9 Budget Parameters'!I595</f>
        <v>168834</v>
      </c>
      <c r="J168" s="34">
        <f>'11 EXS 1-9 Budget Parameters'!J595</f>
        <v>189980</v>
      </c>
    </row>
    <row r="170" spans="1:10" x14ac:dyDescent="0.2">
      <c r="A170" s="27" t="s">
        <v>268</v>
      </c>
    </row>
    <row r="171" spans="1:10" x14ac:dyDescent="0.2">
      <c r="A171" s="36" t="s">
        <v>400</v>
      </c>
      <c r="B171" s="34">
        <f>'11 EXS 1-9 Budget Parameters'!B599</f>
        <v>0</v>
      </c>
      <c r="C171" s="34">
        <f>'11 EXS 1-9 Budget Parameters'!C599</f>
        <v>0</v>
      </c>
      <c r="D171" s="34">
        <f>'11 EXS 1-9 Budget Parameters'!D599</f>
        <v>0</v>
      </c>
      <c r="E171" s="34">
        <f>'11 EXS 1-9 Budget Parameters'!E599</f>
        <v>85000</v>
      </c>
      <c r="F171" s="34">
        <f>'11 EXS 1-9 Budget Parameters'!F599</f>
        <v>0</v>
      </c>
      <c r="G171" s="34">
        <f>'11 EXS 1-9 Budget Parameters'!G599</f>
        <v>0</v>
      </c>
      <c r="H171" s="34">
        <f>'11 EXS 1-9 Budget Parameters'!H599</f>
        <v>0</v>
      </c>
      <c r="I171" s="34">
        <f>'11 EXS 1-9 Budget Parameters'!I599</f>
        <v>0</v>
      </c>
      <c r="J171" s="34">
        <f>'11 EXS 1-9 Budget Parameters'!J599</f>
        <v>0</v>
      </c>
    </row>
    <row r="172" spans="1:10" x14ac:dyDescent="0.2">
      <c r="A172" s="36" t="s">
        <v>401</v>
      </c>
      <c r="B172" s="34">
        <f>'11 EXS 1-9 Budget Parameters'!B600</f>
        <v>73482</v>
      </c>
      <c r="C172" s="34">
        <f>'11 EXS 1-9 Budget Parameters'!C600</f>
        <v>0</v>
      </c>
      <c r="D172" s="34">
        <f>'11 EXS 1-9 Budget Parameters'!D600</f>
        <v>83254</v>
      </c>
      <c r="E172" s="34">
        <f>'11 EXS 1-9 Budget Parameters'!E600</f>
        <v>0</v>
      </c>
      <c r="F172" s="34">
        <f>'11 EXS 1-9 Budget Parameters'!F600</f>
        <v>0</v>
      </c>
      <c r="G172" s="34">
        <f>'11 EXS 1-9 Budget Parameters'!G600</f>
        <v>0</v>
      </c>
      <c r="H172" s="34">
        <f>'11 EXS 1-9 Budget Parameters'!H600</f>
        <v>138000</v>
      </c>
      <c r="I172" s="34">
        <f>'11 EXS 1-9 Budget Parameters'!I600</f>
        <v>0</v>
      </c>
      <c r="J172" s="34">
        <f>'11 EXS 1-9 Budget Parameters'!J600</f>
        <v>0</v>
      </c>
    </row>
    <row r="173" spans="1:10" s="124" customFormat="1" x14ac:dyDescent="0.2">
      <c r="A173" s="36" t="s">
        <v>505</v>
      </c>
      <c r="B173" s="34">
        <f>'11 EXS 1-9 Budget Parameters'!B601</f>
        <v>0</v>
      </c>
      <c r="C173" s="34">
        <f>'11 EXS 1-9 Budget Parameters'!C601</f>
        <v>0</v>
      </c>
      <c r="D173" s="34">
        <f>'11 EXS 1-9 Budget Parameters'!D601</f>
        <v>0</v>
      </c>
      <c r="E173" s="34">
        <f>'11 EXS 1-9 Budget Parameters'!E601</f>
        <v>0</v>
      </c>
      <c r="F173" s="34">
        <f>'11 EXS 1-9 Budget Parameters'!F601</f>
        <v>0</v>
      </c>
      <c r="G173" s="34">
        <f>'11 EXS 1-9 Budget Parameters'!G601</f>
        <v>0</v>
      </c>
      <c r="H173" s="34">
        <f>'11 EXS 1-9 Budget Parameters'!H601</f>
        <v>0</v>
      </c>
      <c r="I173" s="34">
        <f>'11 EXS 1-9 Budget Parameters'!I601</f>
        <v>0</v>
      </c>
      <c r="J173" s="34">
        <f>'11 EXS 1-9 Budget Parameters'!J601</f>
        <v>0</v>
      </c>
    </row>
    <row r="174" spans="1:10" x14ac:dyDescent="0.2">
      <c r="A174" s="36" t="s">
        <v>267</v>
      </c>
      <c r="B174" s="34">
        <f>'11 EXS 1-9 Budget Parameters'!B602</f>
        <v>0</v>
      </c>
      <c r="C174" s="34">
        <f>'11 EXS 1-9 Budget Parameters'!C602</f>
        <v>0</v>
      </c>
      <c r="D174" s="34">
        <f>'11 EXS 1-9 Budget Parameters'!D602</f>
        <v>0</v>
      </c>
      <c r="E174" s="34">
        <f>'11 EXS 1-9 Budget Parameters'!E602</f>
        <v>0</v>
      </c>
      <c r="F174" s="34">
        <f>'11 EXS 1-9 Budget Parameters'!F602</f>
        <v>0</v>
      </c>
      <c r="G174" s="34">
        <f>'11 EXS 1-9 Budget Parameters'!G602</f>
        <v>0</v>
      </c>
      <c r="H174" s="34">
        <f>'11 EXS 1-9 Budget Parameters'!H602</f>
        <v>0</v>
      </c>
      <c r="I174" s="34">
        <f>'11 EXS 1-9 Budget Parameters'!I602</f>
        <v>130000</v>
      </c>
      <c r="J174" s="34">
        <f>'11 EXS 1-9 Budget Parameters'!J602</f>
        <v>143000</v>
      </c>
    </row>
    <row r="175" spans="1:10" x14ac:dyDescent="0.2">
      <c r="A175" s="36" t="s">
        <v>269</v>
      </c>
      <c r="B175" s="34">
        <f>'11 EXS 1-9 Budget Parameters'!B603</f>
        <v>0</v>
      </c>
      <c r="C175" s="34">
        <f>'11 EXS 1-9 Budget Parameters'!C603</f>
        <v>55000</v>
      </c>
      <c r="D175" s="34">
        <f>'11 EXS 1-9 Budget Parameters'!D603</f>
        <v>0</v>
      </c>
      <c r="E175" s="34">
        <f>'11 EXS 1-9 Budget Parameters'!E603</f>
        <v>0</v>
      </c>
      <c r="F175" s="34">
        <f>'11 EXS 1-9 Budget Parameters'!F603</f>
        <v>0</v>
      </c>
      <c r="G175" s="34">
        <f>'11 EXS 1-9 Budget Parameters'!G603</f>
        <v>30000</v>
      </c>
      <c r="H175" s="34">
        <f>'11 EXS 1-9 Budget Parameters'!H603</f>
        <v>0</v>
      </c>
      <c r="I175" s="34">
        <f>'11 EXS 1-9 Budget Parameters'!I603</f>
        <v>0</v>
      </c>
      <c r="J175" s="34">
        <f>'11 EXS 1-9 Budget Parameters'!J603</f>
        <v>0</v>
      </c>
    </row>
    <row r="176" spans="1:10" x14ac:dyDescent="0.2">
      <c r="A176" s="36" t="s">
        <v>270</v>
      </c>
      <c r="B176" s="34">
        <f>'11 EXS 1-9 Budget Parameters'!B604</f>
        <v>0</v>
      </c>
      <c r="C176" s="34">
        <f>'11 EXS 1-9 Budget Parameters'!C604</f>
        <v>0</v>
      </c>
      <c r="D176" s="34">
        <f>'11 EXS 1-9 Budget Parameters'!D604</f>
        <v>0</v>
      </c>
      <c r="E176" s="34">
        <f>'11 EXS 1-9 Budget Parameters'!E604</f>
        <v>0</v>
      </c>
      <c r="F176" s="34">
        <f>'11 EXS 1-9 Budget Parameters'!F604</f>
        <v>58500</v>
      </c>
      <c r="G176" s="34">
        <f>'11 EXS 1-9 Budget Parameters'!G604</f>
        <v>0</v>
      </c>
      <c r="H176" s="34">
        <f>'11 EXS 1-9 Budget Parameters'!H604</f>
        <v>0</v>
      </c>
      <c r="I176" s="34">
        <f>'11 EXS 1-9 Budget Parameters'!I604</f>
        <v>0</v>
      </c>
      <c r="J176" s="34">
        <f>'11 EXS 1-9 Budget Parameters'!J604</f>
        <v>0</v>
      </c>
    </row>
    <row r="177" spans="1:10" x14ac:dyDescent="0.2">
      <c r="A177" s="36" t="s">
        <v>271</v>
      </c>
      <c r="B177" s="34">
        <f>'11 EXS 1-9 Budget Parameters'!B605</f>
        <v>0</v>
      </c>
      <c r="C177" s="34">
        <f>'11 EXS 1-9 Budget Parameters'!C605</f>
        <v>0</v>
      </c>
      <c r="D177" s="34">
        <f>'11 EXS 1-9 Budget Parameters'!D605</f>
        <v>0</v>
      </c>
      <c r="E177" s="34">
        <f>'11 EXS 1-9 Budget Parameters'!E605</f>
        <v>0</v>
      </c>
      <c r="F177" s="34">
        <f>'11 EXS 1-9 Budget Parameters'!F605</f>
        <v>0</v>
      </c>
      <c r="G177" s="34">
        <f>'11 EXS 1-9 Budget Parameters'!G605</f>
        <v>0</v>
      </c>
      <c r="H177" s="34">
        <f>'11 EXS 1-9 Budget Parameters'!H605</f>
        <v>0</v>
      </c>
      <c r="I177" s="34">
        <f>'11 EXS 1-9 Budget Parameters'!I605</f>
        <v>0</v>
      </c>
      <c r="J177" s="34">
        <f>'11 EXS 1-9 Budget Parameters'!J605</f>
        <v>0</v>
      </c>
    </row>
    <row r="178" spans="1:10" x14ac:dyDescent="0.2">
      <c r="A178" s="36" t="s">
        <v>272</v>
      </c>
      <c r="B178" s="34">
        <f>'11 EXS 1-9 Budget Parameters'!B606</f>
        <v>6500</v>
      </c>
      <c r="C178" s="34">
        <f>'11 EXS 1-9 Budget Parameters'!C606</f>
        <v>9400</v>
      </c>
      <c r="D178" s="34">
        <f>'11 EXS 1-9 Budget Parameters'!D606</f>
        <v>10400</v>
      </c>
      <c r="E178" s="34">
        <f>'11 EXS 1-9 Budget Parameters'!E606</f>
        <v>0</v>
      </c>
      <c r="F178" s="34">
        <f>'11 EXS 1-9 Budget Parameters'!F606</f>
        <v>0</v>
      </c>
      <c r="G178" s="34">
        <f>'11 EXS 1-9 Budget Parameters'!G606</f>
        <v>0</v>
      </c>
      <c r="H178" s="34">
        <f>'11 EXS 1-9 Budget Parameters'!H606</f>
        <v>0</v>
      </c>
      <c r="I178" s="34">
        <f>'11 EXS 1-9 Budget Parameters'!I606</f>
        <v>0</v>
      </c>
      <c r="J178" s="34">
        <f>'11 EXS 1-9 Budget Parameters'!J606</f>
        <v>0</v>
      </c>
    </row>
    <row r="179" spans="1:10" x14ac:dyDescent="0.2">
      <c r="A179" s="27" t="s">
        <v>273</v>
      </c>
      <c r="B179" s="34">
        <f>'11 EXS 1-9 Budget Parameters'!B607</f>
        <v>1756</v>
      </c>
      <c r="C179" s="34">
        <f>'11 EXS 1-9 Budget Parameters'!C607</f>
        <v>248</v>
      </c>
      <c r="D179" s="34">
        <f>'11 EXS 1-9 Budget Parameters'!D607</f>
        <v>3500</v>
      </c>
      <c r="E179" s="34">
        <f>'11 EXS 1-9 Budget Parameters'!E607</f>
        <v>0</v>
      </c>
      <c r="F179" s="34">
        <f>'11 EXS 1-9 Budget Parameters'!F607</f>
        <v>0</v>
      </c>
      <c r="G179" s="34">
        <f>'11 EXS 1-9 Budget Parameters'!G607</f>
        <v>5800</v>
      </c>
      <c r="H179" s="34">
        <f>'11 EXS 1-9 Budget Parameters'!H607</f>
        <v>0</v>
      </c>
      <c r="I179" s="34">
        <f>'11 EXS 1-9 Budget Parameters'!I607</f>
        <v>0</v>
      </c>
      <c r="J179" s="34">
        <f>'11 EXS 1-9 Budget Parameters'!J607</f>
        <v>0</v>
      </c>
    </row>
    <row r="180" spans="1:10" s="124" customFormat="1" x14ac:dyDescent="0.2">
      <c r="A180" s="124" t="s">
        <v>507</v>
      </c>
      <c r="B180" s="34">
        <f>'11 EXS 1-9 Budget Parameters'!B608</f>
        <v>20000</v>
      </c>
      <c r="C180" s="34">
        <f>'11 EXS 1-9 Budget Parameters'!C608</f>
        <v>15340</v>
      </c>
      <c r="D180" s="34">
        <f>'11 EXS 1-9 Budget Parameters'!D608</f>
        <v>0</v>
      </c>
      <c r="E180" s="34">
        <f>'11 EXS 1-9 Budget Parameters'!E608</f>
        <v>35000</v>
      </c>
      <c r="F180" s="34">
        <f>'11 EXS 1-9 Budget Parameters'!F608</f>
        <v>0</v>
      </c>
      <c r="G180" s="34">
        <f>'11 EXS 1-9 Budget Parameters'!G608</f>
        <v>0</v>
      </c>
      <c r="H180" s="34">
        <f>'11 EXS 1-9 Budget Parameters'!H608</f>
        <v>48000</v>
      </c>
      <c r="I180" s="34">
        <f>'11 EXS 1-9 Budget Parameters'!I608</f>
        <v>0</v>
      </c>
      <c r="J180" s="34">
        <f>'11 EXS 1-9 Budget Parameters'!J608</f>
        <v>0</v>
      </c>
    </row>
    <row r="181" spans="1:10" ht="10.5" customHeight="1" x14ac:dyDescent="0.2">
      <c r="A181" s="27" t="s">
        <v>274</v>
      </c>
      <c r="B181" s="34">
        <f>'11 EXS 1-9 Budget Parameters'!B609</f>
        <v>2865</v>
      </c>
      <c r="C181" s="34">
        <f>'11 EXS 1-9 Budget Parameters'!C609</f>
        <v>0</v>
      </c>
      <c r="D181" s="34">
        <f>'11 EXS 1-9 Budget Parameters'!D609</f>
        <v>0</v>
      </c>
      <c r="E181" s="34">
        <f>'11 EXS 1-9 Budget Parameters'!E609</f>
        <v>0</v>
      </c>
      <c r="F181" s="34">
        <f>'11 EXS 1-9 Budget Parameters'!F609</f>
        <v>8456</v>
      </c>
      <c r="G181" s="34">
        <f>'11 EXS 1-9 Budget Parameters'!G609</f>
        <v>0</v>
      </c>
      <c r="H181" s="34">
        <f>'11 EXS 1-9 Budget Parameters'!H609</f>
        <v>0</v>
      </c>
      <c r="I181" s="34">
        <f>'11 EXS 1-9 Budget Parameters'!I609</f>
        <v>0</v>
      </c>
      <c r="J181" s="34">
        <f>'11 EXS 1-9 Budget Parameters'!J609</f>
        <v>0</v>
      </c>
    </row>
    <row r="182" spans="1:10" x14ac:dyDescent="0.2">
      <c r="A182" s="124" t="s">
        <v>519</v>
      </c>
      <c r="B182" s="34">
        <f>'11 EXS 1-9 Budget Parameters'!B610</f>
        <v>0</v>
      </c>
      <c r="C182" s="34">
        <f>'11 EXS 1-9 Budget Parameters'!C610</f>
        <v>23812</v>
      </c>
      <c r="D182" s="34">
        <f>'11 EXS 1-9 Budget Parameters'!D610</f>
        <v>0</v>
      </c>
      <c r="E182" s="34">
        <f>'11 EXS 1-9 Budget Parameters'!E610</f>
        <v>0</v>
      </c>
      <c r="F182" s="34">
        <f>'11 EXS 1-9 Budget Parameters'!F610</f>
        <v>0</v>
      </c>
      <c r="G182" s="34">
        <f>'11 EXS 1-9 Budget Parameters'!G610</f>
        <v>0</v>
      </c>
      <c r="H182" s="34">
        <f>'11 EXS 1-9 Budget Parameters'!H610</f>
        <v>0</v>
      </c>
      <c r="I182" s="34">
        <f>'11 EXS 1-9 Budget Parameters'!I610</f>
        <v>0</v>
      </c>
      <c r="J182" s="34">
        <f>'11 EXS 1-9 Budget Parameters'!J610</f>
        <v>0</v>
      </c>
    </row>
    <row r="183" spans="1:10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</row>
    <row r="185" spans="1:10" x14ac:dyDescent="0.2">
      <c r="A185" s="27" t="s">
        <v>277</v>
      </c>
      <c r="B185" s="34">
        <f t="shared" ref="B185:J185" si="15">SUM(B158:B183)</f>
        <v>240350</v>
      </c>
      <c r="C185" s="34">
        <f t="shared" si="15"/>
        <v>375293</v>
      </c>
      <c r="D185" s="34">
        <f t="shared" si="15"/>
        <v>503935</v>
      </c>
      <c r="E185" s="34">
        <f t="shared" si="15"/>
        <v>687042</v>
      </c>
      <c r="F185" s="34">
        <f t="shared" si="15"/>
        <v>805132</v>
      </c>
      <c r="G185" s="34">
        <f t="shared" si="15"/>
        <v>935381</v>
      </c>
      <c r="H185" s="34">
        <f t="shared" si="15"/>
        <v>1174540</v>
      </c>
      <c r="I185" s="34">
        <f t="shared" si="15"/>
        <v>1259438</v>
      </c>
      <c r="J185" s="34">
        <f t="shared" si="15"/>
        <v>1413880</v>
      </c>
    </row>
    <row r="186" spans="1:10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</row>
    <row r="187" spans="1:10" x14ac:dyDescent="0.2">
      <c r="A187" s="26" t="s">
        <v>493</v>
      </c>
    </row>
    <row r="188" spans="1:10" x14ac:dyDescent="0.2">
      <c r="A188" s="65" t="s">
        <v>380</v>
      </c>
      <c r="B188" s="53">
        <f t="shared" ref="B188:J188" si="16">B185-B154</f>
        <v>-3755</v>
      </c>
      <c r="C188" s="53">
        <f t="shared" si="16"/>
        <v>1037</v>
      </c>
      <c r="D188" s="53">
        <f t="shared" si="16"/>
        <v>-7832</v>
      </c>
      <c r="E188" s="53">
        <f t="shared" si="16"/>
        <v>887</v>
      </c>
      <c r="F188" s="53">
        <f t="shared" si="16"/>
        <v>-8660</v>
      </c>
      <c r="G188" s="53">
        <f t="shared" si="16"/>
        <v>-1095</v>
      </c>
      <c r="H188" s="53">
        <f t="shared" si="16"/>
        <v>-1480</v>
      </c>
      <c r="I188" s="53">
        <f t="shared" si="16"/>
        <v>-642</v>
      </c>
      <c r="J188" s="53">
        <f t="shared" si="16"/>
        <v>5215</v>
      </c>
    </row>
    <row r="189" spans="1:10" x14ac:dyDescent="0.2">
      <c r="A189" s="32"/>
      <c r="B189" s="32"/>
      <c r="C189" s="32"/>
      <c r="D189" s="32"/>
      <c r="E189" s="32"/>
      <c r="F189" s="32"/>
      <c r="G189" s="32"/>
      <c r="H189" s="32"/>
      <c r="I189" s="32"/>
      <c r="J189" s="32"/>
    </row>
    <row r="191" spans="1:10" s="124" customFormat="1" x14ac:dyDescent="0.2">
      <c r="A191" s="123" t="s">
        <v>636</v>
      </c>
    </row>
    <row r="192" spans="1:10" ht="25.5" x14ac:dyDescent="0.2">
      <c r="A192" s="482" t="s">
        <v>392</v>
      </c>
      <c r="B192" s="481">
        <f>'10 EXS 1-9 Budgets'!B124+'10 EXS 1-9 Budgets'!B88</f>
        <v>329046</v>
      </c>
      <c r="C192" s="481">
        <f>'10 EXS 1-9 Budgets'!C124+'10 EXS 1-9 Budgets'!C88</f>
        <v>461586</v>
      </c>
      <c r="D192" s="481">
        <f>'10 EXS 1-9 Budgets'!D124+'10 EXS 1-9 Budgets'!D88</f>
        <v>600505</v>
      </c>
      <c r="E192" s="481">
        <f>'10 EXS 1-9 Budgets'!E124+'10 EXS 1-9 Budgets'!E88</f>
        <v>694608</v>
      </c>
      <c r="F192" s="481">
        <f>'10 EXS 1-9 Budgets'!F124+'10 EXS 1-9 Budgets'!F88</f>
        <v>813792</v>
      </c>
      <c r="G192" s="481">
        <f>'10 EXS 1-9 Budgets'!G124+'10 EXS 1-9 Budgets'!G88</f>
        <v>936476</v>
      </c>
      <c r="H192" s="481">
        <f>'10 EXS 1-9 Budgets'!H124+'10 EXS 1-9 Budgets'!H88</f>
        <v>1176020</v>
      </c>
      <c r="I192" s="481">
        <f>'10 EXS 1-9 Budgets'!I124+'10 EXS 1-9 Budgets'!I88</f>
        <v>1260080</v>
      </c>
      <c r="J192" s="481">
        <f>'10 EXS 1-9 Budgets'!J124+'10 EXS 1-9 Budgets'!J88</f>
        <v>1408665</v>
      </c>
    </row>
    <row r="193" spans="1:13" x14ac:dyDescent="0.2">
      <c r="A193" s="68" t="s">
        <v>510</v>
      </c>
      <c r="B193" s="34">
        <f>ROUND(B192/'11 EXS 1-9 Budget Parameters'!B7,0)</f>
        <v>901</v>
      </c>
      <c r="C193" s="34">
        <f>ROUND(C192/'11 EXS 1-9 Budget Parameters'!C7,0)</f>
        <v>632</v>
      </c>
      <c r="D193" s="34">
        <f>ROUND(D192/'11 EXS 1-9 Budget Parameters'!D7,0)</f>
        <v>548</v>
      </c>
      <c r="E193" s="34">
        <f>ROUND(E192/'11 EXS 1-9 Budget Parameters'!E7,0)</f>
        <v>476</v>
      </c>
      <c r="F193" s="34">
        <f>ROUND(F192/'11 EXS 1-9 Budget Parameters'!F7,0)</f>
        <v>446</v>
      </c>
      <c r="G193" s="34">
        <f>ROUND(G192/'11 EXS 1-9 Budget Parameters'!G7,0)</f>
        <v>428</v>
      </c>
      <c r="H193" s="34">
        <f>ROUND(H192/'11 EXS 1-9 Budget Parameters'!H7,0)</f>
        <v>460</v>
      </c>
      <c r="I193" s="34">
        <f>ROUND(I192/'11 EXS 1-9 Budget Parameters'!I7,0)</f>
        <v>432</v>
      </c>
      <c r="J193" s="34">
        <f>ROUND(J192/'11 EXS 1-9 Budget Parameters'!J7,0)</f>
        <v>429</v>
      </c>
    </row>
    <row r="194" spans="1:13" x14ac:dyDescent="0.2">
      <c r="A194" s="68" t="s">
        <v>511</v>
      </c>
      <c r="B194" s="34">
        <f>ROUND(B192/'11 EXS 1-9 Budget Parameters'!B19,0)</f>
        <v>1201</v>
      </c>
      <c r="C194" s="34">
        <f>ROUND(C192/'11 EXS 1-9 Budget Parameters'!C19,0)</f>
        <v>842</v>
      </c>
      <c r="D194" s="34">
        <f>ROUND(D192/'11 EXS 1-9 Budget Parameters'!D19,0)</f>
        <v>731</v>
      </c>
      <c r="E194" s="34">
        <f>ROUND(E192/'11 EXS 1-9 Budget Parameters'!E19,0)</f>
        <v>634</v>
      </c>
      <c r="F194" s="34">
        <f>ROUND(F192/'11 EXS 1-9 Budget Parameters'!F19,0)</f>
        <v>594</v>
      </c>
      <c r="G194" s="34">
        <f>ROUND(G192/'11 EXS 1-9 Budget Parameters'!G19,0)</f>
        <v>570</v>
      </c>
      <c r="H194" s="34">
        <f>ROUND(H192/'11 EXS 1-9 Budget Parameters'!H19,0)</f>
        <v>657</v>
      </c>
      <c r="I194" s="34">
        <f>ROUND(I192/'11 EXS 1-9 Budget Parameters'!I19,0)</f>
        <v>616</v>
      </c>
      <c r="J194" s="34">
        <f>ROUND(J192/'11 EXS 1-9 Budget Parameters'!J19,0)</f>
        <v>612</v>
      </c>
    </row>
    <row r="195" spans="1:13" x14ac:dyDescent="0.2">
      <c r="A195" s="68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3" ht="25.5" x14ac:dyDescent="0.2">
      <c r="A196" s="35" t="s">
        <v>393</v>
      </c>
      <c r="B196" s="34">
        <f t="shared" ref="B196:J196" si="17">B154</f>
        <v>244105</v>
      </c>
      <c r="C196" s="34">
        <f t="shared" si="17"/>
        <v>374256</v>
      </c>
      <c r="D196" s="34">
        <f t="shared" si="17"/>
        <v>511767</v>
      </c>
      <c r="E196" s="34">
        <f t="shared" si="17"/>
        <v>686155</v>
      </c>
      <c r="F196" s="34">
        <f t="shared" si="17"/>
        <v>813792</v>
      </c>
      <c r="G196" s="34">
        <f t="shared" si="17"/>
        <v>936476</v>
      </c>
      <c r="H196" s="34">
        <f t="shared" si="17"/>
        <v>1176020</v>
      </c>
      <c r="I196" s="34">
        <f t="shared" si="17"/>
        <v>1260080</v>
      </c>
      <c r="J196" s="34">
        <f t="shared" si="17"/>
        <v>1408665</v>
      </c>
    </row>
    <row r="197" spans="1:13" x14ac:dyDescent="0.2">
      <c r="A197" s="68" t="s">
        <v>510</v>
      </c>
      <c r="B197" s="34">
        <f>ROUND(B196/'11 EXS 1-9 Budget Parameters'!B7,0)</f>
        <v>669</v>
      </c>
      <c r="C197" s="34">
        <f>ROUND(C196/'11 EXS 1-9 Budget Parameters'!C7,0)</f>
        <v>513</v>
      </c>
      <c r="D197" s="34">
        <f>ROUND(D196/'11 EXS 1-9 Budget Parameters'!D7,0)</f>
        <v>467</v>
      </c>
      <c r="E197" s="34">
        <f>ROUND(E196/'11 EXS 1-9 Budget Parameters'!E7,0)</f>
        <v>470</v>
      </c>
      <c r="F197" s="34">
        <f>ROUND(F196/'11 EXS 1-9 Budget Parameters'!F7,0)</f>
        <v>446</v>
      </c>
      <c r="G197" s="34">
        <f>ROUND(G196/'11 EXS 1-9 Budget Parameters'!G7,0)</f>
        <v>428</v>
      </c>
      <c r="H197" s="34">
        <f>ROUND(H196/'11 EXS 1-9 Budget Parameters'!H7,0)</f>
        <v>460</v>
      </c>
      <c r="I197" s="34">
        <f>ROUND(I196/'11 EXS 1-9 Budget Parameters'!I7,0)</f>
        <v>432</v>
      </c>
      <c r="J197" s="34">
        <f>ROUND(J196/'11 EXS 1-9 Budget Parameters'!J7,0)</f>
        <v>429</v>
      </c>
    </row>
    <row r="198" spans="1:13" x14ac:dyDescent="0.2">
      <c r="A198" s="68" t="s">
        <v>511</v>
      </c>
      <c r="B198" s="34">
        <f>ROUND(B196/'11 EXS 1-9 Budget Parameters'!B19,0)</f>
        <v>891</v>
      </c>
      <c r="C198" s="34">
        <f>ROUND(C196/'11 EXS 1-9 Budget Parameters'!C19,0)</f>
        <v>683</v>
      </c>
      <c r="D198" s="34">
        <f>ROUND(D196/'11 EXS 1-9 Budget Parameters'!D19,0)</f>
        <v>623</v>
      </c>
      <c r="E198" s="34">
        <f>ROUND(E196/'11 EXS 1-9 Budget Parameters'!E19,0)</f>
        <v>627</v>
      </c>
      <c r="F198" s="34">
        <f>ROUND(F196/'11 EXS 1-9 Budget Parameters'!F19,0)</f>
        <v>594</v>
      </c>
      <c r="G198" s="34">
        <f>ROUND(G196/'11 EXS 1-9 Budget Parameters'!G19,0)</f>
        <v>570</v>
      </c>
      <c r="H198" s="34">
        <f>ROUND(H196/'11 EXS 1-9 Budget Parameters'!H19,0)</f>
        <v>657</v>
      </c>
      <c r="I198" s="34">
        <f>ROUND(I196/'11 EXS 1-9 Budget Parameters'!I19,0)</f>
        <v>616</v>
      </c>
      <c r="J198" s="34">
        <f>ROUND(J196/'11 EXS 1-9 Budget Parameters'!J19,0)</f>
        <v>612</v>
      </c>
    </row>
    <row r="200" spans="1:13" x14ac:dyDescent="0.2">
      <c r="A200" s="27" t="s">
        <v>394</v>
      </c>
      <c r="B200" s="34">
        <f t="shared" ref="B200:J200" si="18">B185</f>
        <v>240350</v>
      </c>
      <c r="C200" s="34">
        <f t="shared" si="18"/>
        <v>375293</v>
      </c>
      <c r="D200" s="34">
        <f t="shared" si="18"/>
        <v>503935</v>
      </c>
      <c r="E200" s="34">
        <f t="shared" si="18"/>
        <v>687042</v>
      </c>
      <c r="F200" s="34">
        <f t="shared" si="18"/>
        <v>805132</v>
      </c>
      <c r="G200" s="34">
        <f t="shared" si="18"/>
        <v>935381</v>
      </c>
      <c r="H200" s="34">
        <f t="shared" si="18"/>
        <v>1174540</v>
      </c>
      <c r="I200" s="34">
        <f t="shared" si="18"/>
        <v>1259438</v>
      </c>
      <c r="J200" s="34">
        <f t="shared" si="18"/>
        <v>1413880</v>
      </c>
    </row>
    <row r="201" spans="1:13" x14ac:dyDescent="0.2">
      <c r="A201" s="68" t="s">
        <v>512</v>
      </c>
      <c r="B201" s="34">
        <f>ROUND(B200/'11 EXS 1-9 Budget Parameters'!B7,0)</f>
        <v>658</v>
      </c>
      <c r="C201" s="34">
        <f>ROUND(C200/'11 EXS 1-9 Budget Parameters'!C7,0)</f>
        <v>514</v>
      </c>
      <c r="D201" s="34">
        <f>ROUND(D200/'11 EXS 1-9 Budget Parameters'!D7,0)</f>
        <v>460</v>
      </c>
      <c r="E201" s="34">
        <f>ROUND(E200/'11 EXS 1-9 Budget Parameters'!E7,0)</f>
        <v>471</v>
      </c>
      <c r="F201" s="34">
        <f>ROUND(F200/'11 EXS 1-9 Budget Parameters'!F7,0)</f>
        <v>441</v>
      </c>
      <c r="G201" s="34">
        <f>ROUND(G200/'11 EXS 1-9 Budget Parameters'!G7,0)</f>
        <v>427</v>
      </c>
      <c r="H201" s="34">
        <f>ROUND(H200/'11 EXS 1-9 Budget Parameters'!H7,0)</f>
        <v>460</v>
      </c>
      <c r="I201" s="34">
        <f>ROUND(I200/'11 EXS 1-9 Budget Parameters'!I7,0)</f>
        <v>431</v>
      </c>
      <c r="J201" s="34">
        <f>ROUND(J200/'11 EXS 1-9 Budget Parameters'!J7,0)</f>
        <v>430</v>
      </c>
    </row>
    <row r="202" spans="1:13" x14ac:dyDescent="0.2">
      <c r="A202" s="68" t="s">
        <v>513</v>
      </c>
      <c r="B202" s="34">
        <f>ROUND(B200/'11 EXS 1-9 Budget Parameters'!B19,0)</f>
        <v>877</v>
      </c>
      <c r="C202" s="34">
        <f>ROUND(C200/'11 EXS 1-9 Budget Parameters'!C19,0)</f>
        <v>685</v>
      </c>
      <c r="D202" s="34">
        <f>ROUND(D200/'11 EXS 1-9 Budget Parameters'!D19,0)</f>
        <v>614</v>
      </c>
      <c r="E202" s="34">
        <f>ROUND(E200/'11 EXS 1-9 Budget Parameters'!E19,0)</f>
        <v>627</v>
      </c>
      <c r="F202" s="34">
        <f>ROUND(F200/'11 EXS 1-9 Budget Parameters'!F19,0)</f>
        <v>588</v>
      </c>
      <c r="G202" s="34">
        <f>ROUND(G200/'11 EXS 1-9 Budget Parameters'!G19,0)</f>
        <v>569</v>
      </c>
      <c r="H202" s="34">
        <f>ROUND(H200/'11 EXS 1-9 Budget Parameters'!H19,0)</f>
        <v>657</v>
      </c>
      <c r="I202" s="34">
        <f>ROUND(I200/'11 EXS 1-9 Budget Parameters'!I19,0)</f>
        <v>616</v>
      </c>
      <c r="J202" s="34">
        <f>ROUND(J200/'11 EXS 1-9 Budget Parameters'!J19,0)</f>
        <v>615</v>
      </c>
    </row>
    <row r="203" spans="1:13" x14ac:dyDescent="0.2">
      <c r="A203" s="32"/>
      <c r="B203" s="32"/>
      <c r="C203" s="32"/>
      <c r="D203" s="32"/>
      <c r="E203" s="32"/>
      <c r="F203" s="32"/>
      <c r="G203" s="32"/>
      <c r="H203" s="32"/>
      <c r="I203" s="32"/>
      <c r="J203" s="32"/>
    </row>
    <row r="205" spans="1:13" x14ac:dyDescent="0.2">
      <c r="A205" s="123" t="s">
        <v>637</v>
      </c>
    </row>
    <row r="206" spans="1:13" s="355" customFormat="1" x14ac:dyDescent="0.2">
      <c r="A206" s="482" t="s">
        <v>86</v>
      </c>
      <c r="B206" s="481">
        <f>'10 EXS 1-9 Budgets'!B59</f>
        <v>473250</v>
      </c>
      <c r="C206" s="481">
        <f>'10 EXS 1-9 Budgets'!C59</f>
        <v>473250</v>
      </c>
      <c r="D206" s="481">
        <f>'10 EXS 1-9 Budgets'!D59</f>
        <v>473250</v>
      </c>
      <c r="E206" s="481">
        <f>'10 EXS 1-9 Budgets'!E59</f>
        <v>684050</v>
      </c>
      <c r="F206" s="481">
        <f>'10 EXS 1-9 Budgets'!F59</f>
        <v>684050</v>
      </c>
      <c r="G206" s="481">
        <f>'10 EXS 1-9 Budgets'!G59</f>
        <v>684050</v>
      </c>
      <c r="H206" s="481">
        <f>'10 EXS 1-9 Budgets'!H59</f>
        <v>953000</v>
      </c>
      <c r="I206" s="481">
        <f>'10 EXS 1-9 Budgets'!I59</f>
        <v>956500</v>
      </c>
      <c r="J206" s="481">
        <f>'10 EXS 1-9 Budgets'!J59</f>
        <v>956500</v>
      </c>
      <c r="M206" s="34"/>
    </row>
    <row r="207" spans="1:13" x14ac:dyDescent="0.2">
      <c r="A207" s="355" t="s">
        <v>559</v>
      </c>
      <c r="B207" s="34">
        <f>'10 EXS 1-9 Budgets'!B88</f>
        <v>110770</v>
      </c>
      <c r="C207" s="34">
        <f>'10 EXS 1-9 Budgets'!C88</f>
        <v>201946</v>
      </c>
      <c r="D207" s="34">
        <f>'10 EXS 1-9 Budgets'!D88</f>
        <v>301412</v>
      </c>
      <c r="E207" s="34">
        <f>'10 EXS 1-9 Budgets'!E88</f>
        <v>280620</v>
      </c>
      <c r="F207" s="34">
        <f>'10 EXS 1-9 Budgets'!F88</f>
        <v>333602</v>
      </c>
      <c r="G207" s="34">
        <f>'10 EXS 1-9 Budgets'!G88</f>
        <v>409129</v>
      </c>
      <c r="H207" s="34">
        <f>'10 EXS 1-9 Budgets'!H88</f>
        <v>457646</v>
      </c>
      <c r="I207" s="34">
        <f>'10 EXS 1-9 Budgets'!I88</f>
        <v>486727</v>
      </c>
      <c r="J207" s="34">
        <f>'10 EXS 1-9 Budgets'!J88</f>
        <v>574726</v>
      </c>
    </row>
    <row r="208" spans="1:13" x14ac:dyDescent="0.2">
      <c r="A208" s="355" t="s">
        <v>560</v>
      </c>
      <c r="B208" s="34">
        <f t="shared" ref="B208:J208" si="19">B148</f>
        <v>43988</v>
      </c>
      <c r="C208" s="34">
        <f t="shared" si="19"/>
        <v>49485</v>
      </c>
      <c r="D208" s="34">
        <f t="shared" si="19"/>
        <v>54114</v>
      </c>
      <c r="E208" s="34">
        <f t="shared" si="19"/>
        <v>191316</v>
      </c>
      <c r="F208" s="34">
        <f t="shared" si="19"/>
        <v>223344</v>
      </c>
      <c r="G208" s="34">
        <f t="shared" si="19"/>
        <v>229094</v>
      </c>
      <c r="H208" s="34">
        <f t="shared" si="19"/>
        <v>336602</v>
      </c>
      <c r="I208" s="34">
        <f t="shared" si="19"/>
        <v>350932</v>
      </c>
      <c r="J208" s="34">
        <f t="shared" si="19"/>
        <v>359877</v>
      </c>
    </row>
    <row r="209" spans="1:13" s="355" customFormat="1" x14ac:dyDescent="0.2">
      <c r="A209" s="356" t="s">
        <v>557</v>
      </c>
      <c r="B209" s="34">
        <f t="shared" ref="B209:J209" si="20">B151</f>
        <v>133335</v>
      </c>
      <c r="C209" s="34">
        <f t="shared" si="20"/>
        <v>172310</v>
      </c>
      <c r="D209" s="34">
        <f t="shared" si="20"/>
        <v>210355</v>
      </c>
      <c r="E209" s="34">
        <f t="shared" si="20"/>
        <v>405535</v>
      </c>
      <c r="F209" s="34">
        <f t="shared" si="20"/>
        <v>480190</v>
      </c>
      <c r="G209" s="34">
        <f t="shared" si="20"/>
        <v>527347</v>
      </c>
      <c r="H209" s="34">
        <f t="shared" si="20"/>
        <v>718374</v>
      </c>
      <c r="I209" s="34">
        <f t="shared" si="20"/>
        <v>773353</v>
      </c>
      <c r="J209" s="34">
        <f t="shared" si="20"/>
        <v>833939</v>
      </c>
      <c r="M209" s="34"/>
    </row>
    <row r="210" spans="1:13" s="355" customFormat="1" ht="25.5" x14ac:dyDescent="0.2">
      <c r="A210" s="356" t="s">
        <v>558</v>
      </c>
      <c r="B210" s="34">
        <f t="shared" ref="B210:J210" si="21">B154</f>
        <v>244105</v>
      </c>
      <c r="C210" s="34">
        <f t="shared" si="21"/>
        <v>374256</v>
      </c>
      <c r="D210" s="34">
        <f t="shared" si="21"/>
        <v>511767</v>
      </c>
      <c r="E210" s="34">
        <f t="shared" si="21"/>
        <v>686155</v>
      </c>
      <c r="F210" s="34">
        <f t="shared" si="21"/>
        <v>813792</v>
      </c>
      <c r="G210" s="34">
        <f t="shared" si="21"/>
        <v>936476</v>
      </c>
      <c r="H210" s="34">
        <f t="shared" si="21"/>
        <v>1176020</v>
      </c>
      <c r="I210" s="34">
        <f t="shared" si="21"/>
        <v>1260080</v>
      </c>
      <c r="J210" s="34">
        <f t="shared" si="21"/>
        <v>1408665</v>
      </c>
    </row>
    <row r="211" spans="1:13" s="355" customFormat="1" x14ac:dyDescent="0.2">
      <c r="A211" s="356"/>
      <c r="B211" s="34"/>
      <c r="C211" s="34"/>
      <c r="D211" s="34"/>
      <c r="E211" s="34"/>
      <c r="F211" s="34"/>
      <c r="G211" s="34"/>
      <c r="H211" s="34"/>
      <c r="I211" s="34"/>
      <c r="J211" s="34"/>
    </row>
    <row r="212" spans="1:13" x14ac:dyDescent="0.2">
      <c r="A212" s="355" t="s">
        <v>562</v>
      </c>
    </row>
    <row r="213" spans="1:13" x14ac:dyDescent="0.2">
      <c r="A213" s="356" t="s">
        <v>561</v>
      </c>
      <c r="B213" s="30">
        <f t="shared" ref="B213:J213" si="22">B206/B209</f>
        <v>3.5493306333670831</v>
      </c>
      <c r="C213" s="30">
        <f t="shared" si="22"/>
        <v>2.7465033950438165</v>
      </c>
      <c r="D213" s="30">
        <f t="shared" si="22"/>
        <v>2.2497682489125528</v>
      </c>
      <c r="E213" s="30">
        <f t="shared" si="22"/>
        <v>1.6867841246748123</v>
      </c>
      <c r="F213" s="30">
        <f t="shared" si="22"/>
        <v>1.4245402861367376</v>
      </c>
      <c r="G213" s="30">
        <f t="shared" si="22"/>
        <v>1.2971534871725827</v>
      </c>
      <c r="H213" s="30">
        <f t="shared" si="22"/>
        <v>1.3266070319916923</v>
      </c>
      <c r="I213" s="30">
        <f t="shared" si="22"/>
        <v>1.2368219946130681</v>
      </c>
      <c r="J213" s="30">
        <f t="shared" si="22"/>
        <v>1.1469663848315044</v>
      </c>
    </row>
    <row r="214" spans="1:13" ht="25.5" x14ac:dyDescent="0.2">
      <c r="A214" s="356" t="s">
        <v>565</v>
      </c>
      <c r="B214" s="30">
        <f t="shared" ref="B214:J214" si="23">B206/B210</f>
        <v>1.9387148972778108</v>
      </c>
      <c r="C214" s="30">
        <f t="shared" si="23"/>
        <v>1.2645087854302937</v>
      </c>
      <c r="D214" s="30">
        <f t="shared" si="23"/>
        <v>0.92473723393653751</v>
      </c>
      <c r="E214" s="30">
        <f t="shared" si="23"/>
        <v>0.99693218004678241</v>
      </c>
      <c r="F214" s="30">
        <f t="shared" si="23"/>
        <v>0.84057105501160001</v>
      </c>
      <c r="G214" s="30">
        <f t="shared" si="23"/>
        <v>0.73045118080975913</v>
      </c>
      <c r="H214" s="30">
        <f t="shared" si="23"/>
        <v>0.81036036802095202</v>
      </c>
      <c r="I214" s="30">
        <f t="shared" si="23"/>
        <v>0.75907878864833978</v>
      </c>
      <c r="J214" s="30">
        <f t="shared" si="23"/>
        <v>0.6790116883716143</v>
      </c>
    </row>
    <row r="215" spans="1:13" s="455" customFormat="1" x14ac:dyDescent="0.2">
      <c r="A215" s="456"/>
      <c r="B215" s="30"/>
      <c r="C215" s="30"/>
      <c r="D215" s="30"/>
      <c r="E215" s="30"/>
      <c r="F215" s="30"/>
      <c r="G215" s="30"/>
      <c r="H215" s="30"/>
      <c r="I215" s="30"/>
      <c r="J215" s="30"/>
    </row>
    <row r="216" spans="1:13" x14ac:dyDescent="0.2">
      <c r="A216" s="355" t="s">
        <v>563</v>
      </c>
    </row>
    <row r="217" spans="1:13" x14ac:dyDescent="0.2">
      <c r="A217" s="356" t="s">
        <v>561</v>
      </c>
      <c r="B217" s="30">
        <f t="shared" ref="B217:I217" si="24">B207/B209</f>
        <v>0.83076461544230695</v>
      </c>
      <c r="C217" s="30">
        <f t="shared" si="24"/>
        <v>1.1719923393883118</v>
      </c>
      <c r="D217" s="30">
        <f t="shared" si="24"/>
        <v>1.4328730004040788</v>
      </c>
      <c r="E217" s="30">
        <f t="shared" si="24"/>
        <v>0.69197479872267498</v>
      </c>
      <c r="F217" s="30">
        <f t="shared" si="24"/>
        <v>0.69472916970365894</v>
      </c>
      <c r="G217" s="30">
        <f t="shared" si="24"/>
        <v>0.77582502602650627</v>
      </c>
      <c r="H217" s="30">
        <f t="shared" si="24"/>
        <v>0.63705813406387202</v>
      </c>
      <c r="I217" s="30">
        <f t="shared" si="24"/>
        <v>0.62937235647886536</v>
      </c>
      <c r="J217" s="30">
        <f>J207/J209</f>
        <v>0.68917031101795212</v>
      </c>
    </row>
    <row r="218" spans="1:13" ht="25.5" x14ac:dyDescent="0.2">
      <c r="A218" s="356" t="s">
        <v>565</v>
      </c>
      <c r="B218" s="30">
        <f t="shared" ref="B218:J218" si="25">B207/B210</f>
        <v>0.45378013559738639</v>
      </c>
      <c r="C218" s="30">
        <f t="shared" si="25"/>
        <v>0.53959321961438156</v>
      </c>
      <c r="D218" s="30">
        <f t="shared" si="25"/>
        <v>0.58896333683101876</v>
      </c>
      <c r="E218" s="30">
        <f t="shared" si="25"/>
        <v>0.40897464858523219</v>
      </c>
      <c r="F218" s="30">
        <f t="shared" si="25"/>
        <v>0.40993521686131101</v>
      </c>
      <c r="G218" s="30">
        <f t="shared" si="25"/>
        <v>0.43688145772021919</v>
      </c>
      <c r="H218" s="30">
        <f t="shared" si="25"/>
        <v>0.38914814373905204</v>
      </c>
      <c r="I218" s="30">
        <f t="shared" si="25"/>
        <v>0.38626674496857344</v>
      </c>
      <c r="J218" s="30">
        <f t="shared" si="25"/>
        <v>0.40799338380665384</v>
      </c>
    </row>
    <row r="219" spans="1:13" x14ac:dyDescent="0.2">
      <c r="A219" s="355"/>
    </row>
    <row r="220" spans="1:13" s="355" customFormat="1" x14ac:dyDescent="0.2">
      <c r="A220" s="355" t="s">
        <v>564</v>
      </c>
    </row>
    <row r="221" spans="1:13" s="355" customFormat="1" x14ac:dyDescent="0.2">
      <c r="A221" s="356" t="s">
        <v>561</v>
      </c>
      <c r="B221" s="30">
        <f t="shared" ref="B221:J221" si="26">B208/B209</f>
        <v>0.32990587617654782</v>
      </c>
      <c r="C221" s="30">
        <f t="shared" si="26"/>
        <v>0.28718588590331379</v>
      </c>
      <c r="D221" s="30">
        <f t="shared" si="26"/>
        <v>0.25725083786931613</v>
      </c>
      <c r="E221" s="30">
        <f t="shared" si="26"/>
        <v>0.47176199341610464</v>
      </c>
      <c r="F221" s="30">
        <f t="shared" si="26"/>
        <v>0.46511589162623129</v>
      </c>
      <c r="G221" s="30">
        <f t="shared" si="26"/>
        <v>0.43442742634356507</v>
      </c>
      <c r="H221" s="30">
        <f t="shared" si="26"/>
        <v>0.46856094457761555</v>
      </c>
      <c r="I221" s="30">
        <f t="shared" si="26"/>
        <v>0.45377983921960607</v>
      </c>
      <c r="J221" s="30">
        <f t="shared" si="26"/>
        <v>0.43153875763095384</v>
      </c>
    </row>
    <row r="222" spans="1:13" s="355" customFormat="1" ht="25.5" x14ac:dyDescent="0.2">
      <c r="A222" s="356" t="s">
        <v>565</v>
      </c>
      <c r="B222" s="30">
        <f t="shared" ref="B222:J222" si="27">B208/B210</f>
        <v>0.18020114295077938</v>
      </c>
      <c r="C222" s="30">
        <f t="shared" si="27"/>
        <v>0.13222232910093626</v>
      </c>
      <c r="D222" s="30">
        <f t="shared" si="27"/>
        <v>0.1057395259952283</v>
      </c>
      <c r="E222" s="30">
        <f t="shared" si="27"/>
        <v>0.27882329794288463</v>
      </c>
      <c r="F222" s="30">
        <f t="shared" si="27"/>
        <v>0.27444850772679014</v>
      </c>
      <c r="G222" s="30">
        <f t="shared" si="27"/>
        <v>0.24463413904894518</v>
      </c>
      <c r="H222" s="30">
        <f t="shared" si="27"/>
        <v>0.2862213227666196</v>
      </c>
      <c r="I222" s="30">
        <f t="shared" si="27"/>
        <v>0.27849977779188623</v>
      </c>
      <c r="J222" s="30">
        <f t="shared" si="27"/>
        <v>0.25547379966138151</v>
      </c>
    </row>
    <row r="223" spans="1:13" x14ac:dyDescent="0.2">
      <c r="A223" s="32"/>
      <c r="B223" s="32"/>
      <c r="C223" s="32"/>
      <c r="D223" s="32"/>
      <c r="E223" s="32"/>
      <c r="F223" s="32"/>
      <c r="G223" s="32"/>
      <c r="H223" s="32"/>
      <c r="I223" s="32"/>
      <c r="J223" s="32"/>
    </row>
  </sheetData>
  <sheetProtection sheet="1" objects="1" scenarios="1"/>
  <mergeCells count="8">
    <mergeCell ref="A1:J1"/>
    <mergeCell ref="A33:J33"/>
    <mergeCell ref="A62:J62"/>
    <mergeCell ref="A3:J3"/>
    <mergeCell ref="A22:J22"/>
    <mergeCell ref="A24:J24"/>
    <mergeCell ref="A18:J18"/>
    <mergeCell ref="A20:J20"/>
  </mergeCells>
  <printOptions horizontalCentered="1"/>
  <pageMargins left="0.5" right="0.5" top="0.5" bottom="0.5" header="0.3" footer="0.3"/>
  <pageSetup orientation="landscape" r:id="rId1"/>
  <rowBreaks count="8" manualBreakCount="8">
    <brk id="32" max="9" man="1"/>
    <brk id="61" max="9" man="1"/>
    <brk id="90" max="9" man="1"/>
    <brk id="128" max="9" man="1"/>
    <brk id="146" max="9" man="1"/>
    <brk id="156" max="9" man="1"/>
    <brk id="190" max="16383" man="1"/>
    <brk id="20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0"/>
  <sheetViews>
    <sheetView view="pageBreakPreview" zoomScale="90" zoomScaleNormal="100" zoomScaleSheetLayoutView="90" workbookViewId="0">
      <pane xSplit="1" ySplit="2" topLeftCell="B349" activePane="bottomRight" state="frozen"/>
      <selection activeCell="M536" sqref="M536"/>
      <selection pane="topRight" activeCell="M536" sqref="M536"/>
      <selection pane="bottomLeft" activeCell="M536" sqref="M536"/>
      <selection pane="bottomRight" activeCell="M363" sqref="M363"/>
    </sheetView>
  </sheetViews>
  <sheetFormatPr defaultColWidth="8.85546875" defaultRowHeight="12.75" x14ac:dyDescent="0.2"/>
  <cols>
    <col min="1" max="1" width="31.7109375" style="27" customWidth="1"/>
    <col min="2" max="8" width="10.42578125" style="27" customWidth="1"/>
    <col min="9" max="10" width="10.7109375" style="27" customWidth="1"/>
    <col min="11" max="16384" width="8.85546875" style="27"/>
  </cols>
  <sheetData>
    <row r="1" spans="1:10" x14ac:dyDescent="0.2">
      <c r="A1" s="123" t="s">
        <v>645</v>
      </c>
    </row>
    <row r="2" spans="1:10" s="124" customFormat="1" x14ac:dyDescent="0.2">
      <c r="A2" s="123"/>
      <c r="B2" s="31" t="s">
        <v>19</v>
      </c>
      <c r="C2" s="31" t="s">
        <v>20</v>
      </c>
      <c r="D2" s="31" t="s">
        <v>21</v>
      </c>
      <c r="E2" s="31" t="s">
        <v>22</v>
      </c>
      <c r="F2" s="31" t="s">
        <v>23</v>
      </c>
      <c r="G2" s="31" t="s">
        <v>24</v>
      </c>
      <c r="H2" s="31" t="s">
        <v>25</v>
      </c>
      <c r="I2" s="31" t="s">
        <v>27</v>
      </c>
      <c r="J2" s="31" t="s">
        <v>28</v>
      </c>
    </row>
    <row r="3" spans="1:10" ht="13.5" x14ac:dyDescent="0.25">
      <c r="A3" s="468" t="s">
        <v>643</v>
      </c>
      <c r="B3" s="468"/>
      <c r="C3" s="468"/>
      <c r="D3" s="468"/>
      <c r="E3" s="468"/>
      <c r="F3" s="468"/>
      <c r="G3" s="468"/>
      <c r="H3" s="468"/>
      <c r="I3" s="468"/>
      <c r="J3" s="468"/>
    </row>
    <row r="4" spans="1:10" x14ac:dyDescent="0.2">
      <c r="A4" s="125" t="s">
        <v>11</v>
      </c>
      <c r="B4" s="163" t="s">
        <v>26</v>
      </c>
      <c r="C4" s="163" t="s">
        <v>26</v>
      </c>
      <c r="D4" s="163" t="s">
        <v>26</v>
      </c>
      <c r="E4" s="163" t="s">
        <v>26</v>
      </c>
      <c r="F4" s="163" t="s">
        <v>26</v>
      </c>
      <c r="G4" s="163" t="s">
        <v>26</v>
      </c>
      <c r="H4" s="163" t="s">
        <v>26</v>
      </c>
      <c r="I4" s="163" t="s">
        <v>26</v>
      </c>
      <c r="J4" s="164" t="s">
        <v>26</v>
      </c>
    </row>
    <row r="5" spans="1:10" x14ac:dyDescent="0.2">
      <c r="A5" s="125" t="s">
        <v>12</v>
      </c>
      <c r="B5" s="163" t="s">
        <v>30</v>
      </c>
      <c r="C5" s="163" t="s">
        <v>30</v>
      </c>
      <c r="D5" s="163" t="s">
        <v>30</v>
      </c>
      <c r="E5" s="163" t="s">
        <v>666</v>
      </c>
      <c r="F5" s="163" t="s">
        <v>666</v>
      </c>
      <c r="G5" s="163" t="s">
        <v>666</v>
      </c>
      <c r="H5" s="163" t="s">
        <v>666</v>
      </c>
      <c r="I5" s="163" t="s">
        <v>666</v>
      </c>
      <c r="J5" s="163" t="s">
        <v>666</v>
      </c>
    </row>
    <row r="6" spans="1:10" x14ac:dyDescent="0.2">
      <c r="A6" s="125" t="s">
        <v>13</v>
      </c>
      <c r="B6" s="165">
        <f>B7/365</f>
        <v>1</v>
      </c>
      <c r="C6" s="165">
        <f t="shared" ref="C6:J6" si="0">C7/365</f>
        <v>2</v>
      </c>
      <c r="D6" s="165">
        <f t="shared" si="0"/>
        <v>3</v>
      </c>
      <c r="E6" s="165">
        <f t="shared" si="0"/>
        <v>4</v>
      </c>
      <c r="F6" s="165">
        <f t="shared" si="0"/>
        <v>5</v>
      </c>
      <c r="G6" s="165">
        <f t="shared" si="0"/>
        <v>6</v>
      </c>
      <c r="H6" s="165">
        <f t="shared" si="0"/>
        <v>7</v>
      </c>
      <c r="I6" s="165">
        <f t="shared" si="0"/>
        <v>8</v>
      </c>
      <c r="J6" s="166">
        <f t="shared" si="0"/>
        <v>9</v>
      </c>
    </row>
    <row r="7" spans="1:10" x14ac:dyDescent="0.2">
      <c r="A7" s="125" t="s">
        <v>14</v>
      </c>
      <c r="B7" s="167">
        <v>365</v>
      </c>
      <c r="C7" s="167">
        <v>730</v>
      </c>
      <c r="D7" s="167">
        <v>1095</v>
      </c>
      <c r="E7" s="167">
        <v>1460</v>
      </c>
      <c r="F7" s="167">
        <v>1825</v>
      </c>
      <c r="G7" s="167">
        <v>2190</v>
      </c>
      <c r="H7" s="167">
        <v>2555</v>
      </c>
      <c r="I7" s="167">
        <v>2920</v>
      </c>
      <c r="J7" s="168">
        <v>3285</v>
      </c>
    </row>
    <row r="8" spans="1:10" x14ac:dyDescent="0.2">
      <c r="A8" s="125"/>
      <c r="B8" s="135"/>
      <c r="C8" s="135"/>
      <c r="D8" s="135"/>
      <c r="E8" s="135"/>
      <c r="F8" s="135"/>
      <c r="G8" s="135"/>
      <c r="H8" s="135"/>
      <c r="I8" s="135"/>
      <c r="J8" s="136"/>
    </row>
    <row r="9" spans="1:10" x14ac:dyDescent="0.2">
      <c r="A9" s="125" t="s">
        <v>15</v>
      </c>
      <c r="B9" s="169">
        <v>0.75</v>
      </c>
      <c r="C9" s="169">
        <v>0.75</v>
      </c>
      <c r="D9" s="169">
        <v>0.75</v>
      </c>
      <c r="E9" s="169">
        <v>0.75</v>
      </c>
      <c r="F9" s="169">
        <v>0.75</v>
      </c>
      <c r="G9" s="169">
        <v>0.75</v>
      </c>
      <c r="H9" s="169">
        <v>0.7</v>
      </c>
      <c r="I9" s="169">
        <v>0.7</v>
      </c>
      <c r="J9" s="170">
        <v>0.7</v>
      </c>
    </row>
    <row r="10" spans="1:10" x14ac:dyDescent="0.2">
      <c r="A10" s="125"/>
      <c r="B10" s="137"/>
      <c r="C10" s="137"/>
      <c r="D10" s="137"/>
      <c r="E10" s="137"/>
      <c r="F10" s="137"/>
      <c r="G10" s="137"/>
      <c r="H10" s="137"/>
      <c r="I10" s="137"/>
      <c r="J10" s="138"/>
    </row>
    <row r="11" spans="1:10" x14ac:dyDescent="0.2">
      <c r="A11" s="127" t="s">
        <v>395</v>
      </c>
      <c r="B11" s="169">
        <v>0.75</v>
      </c>
      <c r="C11" s="169">
        <v>0.75</v>
      </c>
      <c r="D11" s="169">
        <v>0.75</v>
      </c>
      <c r="E11" s="169">
        <f>ROUND(75%*85%,3)</f>
        <v>0.63800000000000001</v>
      </c>
      <c r="F11" s="169">
        <f>ROUND(0.75*0.75,3)</f>
        <v>0.56299999999999994</v>
      </c>
      <c r="G11" s="169">
        <f>ROUND(70%*75%,3)</f>
        <v>0.52500000000000002</v>
      </c>
      <c r="H11" s="169">
        <f>ROUND(65%*75%,3)</f>
        <v>0.48799999999999999</v>
      </c>
      <c r="I11" s="169">
        <v>0.48799999999999999</v>
      </c>
      <c r="J11" s="170">
        <v>0.48799999999999999</v>
      </c>
    </row>
    <row r="12" spans="1:10" x14ac:dyDescent="0.2">
      <c r="A12" s="127" t="s">
        <v>249</v>
      </c>
      <c r="B12" s="169">
        <v>0.25</v>
      </c>
      <c r="C12" s="169">
        <v>0.25</v>
      </c>
      <c r="D12" s="169">
        <v>0.25</v>
      </c>
      <c r="E12" s="169">
        <f>ROUND(25%*85%,3)</f>
        <v>0.21299999999999999</v>
      </c>
      <c r="F12" s="169">
        <f>ROUND(25%*75%,3)</f>
        <v>0.188</v>
      </c>
      <c r="G12" s="169">
        <f>ROUND(70%*25%,3)</f>
        <v>0.17499999999999999</v>
      </c>
      <c r="H12" s="169">
        <f>ROUND(65%*25%,3)</f>
        <v>0.16300000000000001</v>
      </c>
      <c r="I12" s="169">
        <v>0.16300000000000001</v>
      </c>
      <c r="J12" s="170">
        <v>0.16300000000000001</v>
      </c>
    </row>
    <row r="13" spans="1:10" ht="13.5" customHeight="1" x14ac:dyDescent="0.2">
      <c r="A13" s="127" t="s">
        <v>669</v>
      </c>
      <c r="B13" s="169">
        <v>0</v>
      </c>
      <c r="C13" s="169">
        <v>0</v>
      </c>
      <c r="D13" s="169">
        <v>0</v>
      </c>
      <c r="E13" s="169">
        <v>0.1</v>
      </c>
      <c r="F13" s="169">
        <v>0.15</v>
      </c>
      <c r="G13" s="169">
        <v>0.18</v>
      </c>
      <c r="H13" s="169">
        <v>0.22</v>
      </c>
      <c r="I13" s="169">
        <v>0.22</v>
      </c>
      <c r="J13" s="170">
        <v>0.22</v>
      </c>
    </row>
    <row r="14" spans="1:10" x14ac:dyDescent="0.2">
      <c r="A14" s="127" t="s">
        <v>670</v>
      </c>
      <c r="B14" s="169">
        <v>0</v>
      </c>
      <c r="C14" s="169">
        <v>0</v>
      </c>
      <c r="D14" s="169">
        <v>0</v>
      </c>
      <c r="E14" s="169">
        <v>0.05</v>
      </c>
      <c r="F14" s="169">
        <v>0.1</v>
      </c>
      <c r="G14" s="169">
        <v>0.12</v>
      </c>
      <c r="H14" s="169">
        <v>0.13</v>
      </c>
      <c r="I14" s="169">
        <v>0.13</v>
      </c>
      <c r="J14" s="170">
        <v>0.13</v>
      </c>
    </row>
    <row r="15" spans="1:10" ht="13.5" customHeight="1" x14ac:dyDescent="0.2">
      <c r="A15" s="127"/>
      <c r="B15" s="169"/>
      <c r="C15" s="169"/>
      <c r="D15" s="169"/>
      <c r="E15" s="169"/>
      <c r="F15" s="169"/>
      <c r="G15" s="169"/>
      <c r="H15" s="169"/>
      <c r="I15" s="169"/>
      <c r="J15" s="170"/>
    </row>
    <row r="16" spans="1:10" x14ac:dyDescent="0.2">
      <c r="A16" s="127"/>
      <c r="B16" s="169"/>
      <c r="C16" s="169"/>
      <c r="D16" s="169"/>
      <c r="E16" s="169"/>
      <c r="F16" s="169"/>
      <c r="G16" s="169"/>
      <c r="H16" s="169"/>
      <c r="I16" s="169"/>
      <c r="J16" s="170"/>
    </row>
    <row r="17" spans="1:10" x14ac:dyDescent="0.2">
      <c r="A17" s="125" t="s">
        <v>250</v>
      </c>
      <c r="B17" s="137">
        <f>SUBTOTAL(9,B11:B16)</f>
        <v>1</v>
      </c>
      <c r="C17" s="137">
        <f t="shared" ref="C17:J17" si="1">SUBTOTAL(9,C11:C16)</f>
        <v>1</v>
      </c>
      <c r="D17" s="137">
        <f t="shared" si="1"/>
        <v>1</v>
      </c>
      <c r="E17" s="137">
        <f t="shared" si="1"/>
        <v>1.0009999999999999</v>
      </c>
      <c r="F17" s="137">
        <f t="shared" si="1"/>
        <v>1.0009999999999999</v>
      </c>
      <c r="G17" s="137">
        <f t="shared" si="1"/>
        <v>0.99999999999999989</v>
      </c>
      <c r="H17" s="137">
        <f t="shared" si="1"/>
        <v>1.0009999999999999</v>
      </c>
      <c r="I17" s="137">
        <f t="shared" si="1"/>
        <v>1.0009999999999999</v>
      </c>
      <c r="J17" s="138">
        <f t="shared" si="1"/>
        <v>1.0009999999999999</v>
      </c>
    </row>
    <row r="18" spans="1:10" ht="12.6" customHeight="1" x14ac:dyDescent="0.2">
      <c r="A18" s="125"/>
      <c r="B18" s="135"/>
      <c r="C18" s="135"/>
      <c r="D18" s="135"/>
      <c r="E18" s="135"/>
      <c r="F18" s="135"/>
      <c r="G18" s="135"/>
      <c r="H18" s="135"/>
      <c r="I18" s="135"/>
      <c r="J18" s="136"/>
    </row>
    <row r="19" spans="1:10" x14ac:dyDescent="0.2">
      <c r="A19" s="125" t="s">
        <v>16</v>
      </c>
      <c r="B19" s="135">
        <f t="shared" ref="B19:J19" si="2">ROUND(B9*B7,0)</f>
        <v>274</v>
      </c>
      <c r="C19" s="135">
        <f t="shared" si="2"/>
        <v>548</v>
      </c>
      <c r="D19" s="135">
        <f t="shared" si="2"/>
        <v>821</v>
      </c>
      <c r="E19" s="135">
        <f t="shared" si="2"/>
        <v>1095</v>
      </c>
      <c r="F19" s="135">
        <f t="shared" si="2"/>
        <v>1369</v>
      </c>
      <c r="G19" s="135">
        <f t="shared" si="2"/>
        <v>1643</v>
      </c>
      <c r="H19" s="135">
        <f t="shared" si="2"/>
        <v>1789</v>
      </c>
      <c r="I19" s="135">
        <f t="shared" si="2"/>
        <v>2044</v>
      </c>
      <c r="J19" s="136">
        <f t="shared" si="2"/>
        <v>2300</v>
      </c>
    </row>
    <row r="20" spans="1:10" x14ac:dyDescent="0.2">
      <c r="A20" s="125"/>
      <c r="B20" s="135"/>
      <c r="C20" s="135"/>
      <c r="D20" s="135"/>
      <c r="E20" s="135"/>
      <c r="F20" s="135"/>
      <c r="G20" s="135"/>
      <c r="H20" s="135"/>
      <c r="I20" s="135"/>
      <c r="J20" s="136"/>
    </row>
    <row r="21" spans="1:10" x14ac:dyDescent="0.2">
      <c r="A21" s="127" t="s">
        <v>532</v>
      </c>
      <c r="B21" s="135">
        <f>ROUND(B11*B19,1)</f>
        <v>205.5</v>
      </c>
      <c r="C21" s="135">
        <f t="shared" ref="C21:J21" si="3">ROUND(C11*C19,1)</f>
        <v>411</v>
      </c>
      <c r="D21" s="135">
        <f t="shared" si="3"/>
        <v>615.79999999999995</v>
      </c>
      <c r="E21" s="135">
        <f t="shared" si="3"/>
        <v>698.6</v>
      </c>
      <c r="F21" s="135">
        <f t="shared" si="3"/>
        <v>770.7</v>
      </c>
      <c r="G21" s="135">
        <f t="shared" si="3"/>
        <v>862.6</v>
      </c>
      <c r="H21" s="135">
        <f t="shared" si="3"/>
        <v>873</v>
      </c>
      <c r="I21" s="135">
        <f t="shared" si="3"/>
        <v>997.5</v>
      </c>
      <c r="J21" s="136">
        <f t="shared" si="3"/>
        <v>1122.4000000000001</v>
      </c>
    </row>
    <row r="22" spans="1:10" x14ac:dyDescent="0.2">
      <c r="A22" s="127" t="s">
        <v>251</v>
      </c>
      <c r="B22" s="135">
        <f>ROUND(B12*B19,1)</f>
        <v>68.5</v>
      </c>
      <c r="C22" s="135">
        <f t="shared" ref="C22:J22" si="4">ROUND(C12*C19,1)</f>
        <v>137</v>
      </c>
      <c r="D22" s="135">
        <f t="shared" si="4"/>
        <v>205.3</v>
      </c>
      <c r="E22" s="135">
        <f t="shared" si="4"/>
        <v>233.2</v>
      </c>
      <c r="F22" s="135">
        <f t="shared" si="4"/>
        <v>257.39999999999998</v>
      </c>
      <c r="G22" s="135">
        <f t="shared" si="4"/>
        <v>287.5</v>
      </c>
      <c r="H22" s="135">
        <f t="shared" si="4"/>
        <v>291.60000000000002</v>
      </c>
      <c r="I22" s="135">
        <f t="shared" si="4"/>
        <v>333.2</v>
      </c>
      <c r="J22" s="136">
        <f t="shared" si="4"/>
        <v>374.9</v>
      </c>
    </row>
    <row r="23" spans="1:10" x14ac:dyDescent="0.2">
      <c r="A23" s="127" t="s">
        <v>650</v>
      </c>
      <c r="B23" s="135">
        <f>ROUND(B13*B19,1)</f>
        <v>0</v>
      </c>
      <c r="C23" s="135">
        <f t="shared" ref="C23:J23" si="5">ROUND(C13*C19,1)</f>
        <v>0</v>
      </c>
      <c r="D23" s="135">
        <f t="shared" si="5"/>
        <v>0</v>
      </c>
      <c r="E23" s="135">
        <f t="shared" si="5"/>
        <v>109.5</v>
      </c>
      <c r="F23" s="135">
        <f t="shared" si="5"/>
        <v>205.4</v>
      </c>
      <c r="G23" s="135">
        <f t="shared" si="5"/>
        <v>295.7</v>
      </c>
      <c r="H23" s="135">
        <f t="shared" si="5"/>
        <v>393.6</v>
      </c>
      <c r="I23" s="135">
        <f t="shared" si="5"/>
        <v>449.7</v>
      </c>
      <c r="J23" s="136">
        <f t="shared" si="5"/>
        <v>506</v>
      </c>
    </row>
    <row r="24" spans="1:10" x14ac:dyDescent="0.2">
      <c r="A24" s="127" t="s">
        <v>651</v>
      </c>
      <c r="B24" s="135">
        <f>ROUND(B14*B19,1)</f>
        <v>0</v>
      </c>
      <c r="C24" s="135">
        <f t="shared" ref="C24:J24" si="6">ROUND(C14*C19,1)</f>
        <v>0</v>
      </c>
      <c r="D24" s="135">
        <f t="shared" si="6"/>
        <v>0</v>
      </c>
      <c r="E24" s="135">
        <f t="shared" si="6"/>
        <v>54.8</v>
      </c>
      <c r="F24" s="135">
        <f t="shared" si="6"/>
        <v>136.9</v>
      </c>
      <c r="G24" s="135">
        <f t="shared" si="6"/>
        <v>197.2</v>
      </c>
      <c r="H24" s="135">
        <f t="shared" si="6"/>
        <v>232.6</v>
      </c>
      <c r="I24" s="135">
        <f t="shared" si="6"/>
        <v>265.7</v>
      </c>
      <c r="J24" s="136">
        <f t="shared" si="6"/>
        <v>299</v>
      </c>
    </row>
    <row r="25" spans="1:10" x14ac:dyDescent="0.2">
      <c r="A25" s="127"/>
      <c r="B25" s="135"/>
      <c r="C25" s="135"/>
      <c r="D25" s="135"/>
      <c r="E25" s="135"/>
      <c r="F25" s="135"/>
      <c r="G25" s="135"/>
      <c r="H25" s="135"/>
      <c r="I25" s="135"/>
      <c r="J25" s="136"/>
    </row>
    <row r="26" spans="1:10" x14ac:dyDescent="0.2">
      <c r="A26" s="127"/>
      <c r="B26" s="135"/>
      <c r="C26" s="135"/>
      <c r="D26" s="135"/>
      <c r="E26" s="135"/>
      <c r="F26" s="135"/>
      <c r="G26" s="135"/>
      <c r="H26" s="135"/>
      <c r="I26" s="135"/>
      <c r="J26" s="136"/>
    </row>
    <row r="27" spans="1:10" x14ac:dyDescent="0.2">
      <c r="A27" s="186" t="s">
        <v>252</v>
      </c>
      <c r="B27" s="141">
        <f>ROUND(SUM(B21:B24),1)</f>
        <v>274</v>
      </c>
      <c r="C27" s="141">
        <f t="shared" ref="C27:H27" si="7">ROUND(SUM(C21:C24),1)</f>
        <v>548</v>
      </c>
      <c r="D27" s="141">
        <f t="shared" si="7"/>
        <v>821.1</v>
      </c>
      <c r="E27" s="141">
        <f t="shared" si="7"/>
        <v>1096.0999999999999</v>
      </c>
      <c r="F27" s="141">
        <f t="shared" si="7"/>
        <v>1370.4</v>
      </c>
      <c r="G27" s="141">
        <f t="shared" si="7"/>
        <v>1643</v>
      </c>
      <c r="H27" s="141">
        <f t="shared" si="7"/>
        <v>1790.8</v>
      </c>
      <c r="I27" s="141">
        <f>ROUND(SUM(I21:I24),1)</f>
        <v>2046.1</v>
      </c>
      <c r="J27" s="141">
        <f>ROUND(SUM(J21:J24),1)</f>
        <v>2302.3000000000002</v>
      </c>
    </row>
    <row r="28" spans="1:10" x14ac:dyDescent="0.2">
      <c r="A28" s="38"/>
      <c r="B28" s="188"/>
      <c r="C28" s="188"/>
      <c r="D28" s="188"/>
      <c r="E28" s="188"/>
      <c r="F28" s="188"/>
      <c r="G28" s="188"/>
      <c r="H28" s="188"/>
      <c r="I28" s="188"/>
      <c r="J28" s="188"/>
    </row>
    <row r="29" spans="1:10" s="39" customFormat="1" x14ac:dyDescent="0.2">
      <c r="B29" s="187"/>
      <c r="C29" s="187"/>
      <c r="D29" s="187"/>
      <c r="E29" s="187"/>
      <c r="F29" s="187"/>
      <c r="G29" s="187"/>
      <c r="H29" s="187"/>
      <c r="I29" s="187"/>
      <c r="J29" s="187"/>
    </row>
    <row r="30" spans="1:10" s="124" customFormat="1" x14ac:dyDescent="0.2">
      <c r="A30" s="502" t="s">
        <v>644</v>
      </c>
      <c r="B30" s="502"/>
      <c r="C30" s="502"/>
      <c r="D30" s="502"/>
      <c r="E30" s="502"/>
      <c r="F30" s="502"/>
      <c r="G30" s="502"/>
      <c r="H30" s="502"/>
      <c r="I30" s="502"/>
      <c r="J30" s="502"/>
    </row>
    <row r="31" spans="1:10" x14ac:dyDescent="0.2">
      <c r="A31" s="125" t="s">
        <v>17</v>
      </c>
      <c r="B31" s="167">
        <v>14600</v>
      </c>
      <c r="C31" s="167">
        <v>29200</v>
      </c>
      <c r="D31" s="167">
        <v>43800</v>
      </c>
      <c r="E31" s="167">
        <v>58400</v>
      </c>
      <c r="F31" s="167">
        <v>73000</v>
      </c>
      <c r="G31" s="167">
        <v>87600</v>
      </c>
      <c r="H31" s="167">
        <v>102200</v>
      </c>
      <c r="I31" s="167">
        <v>116800</v>
      </c>
      <c r="J31" s="168">
        <v>131400</v>
      </c>
    </row>
    <row r="32" spans="1:10" x14ac:dyDescent="0.2">
      <c r="A32" s="125" t="s">
        <v>382</v>
      </c>
      <c r="B32" s="128">
        <f t="shared" ref="B32:J32" si="8">ROUND(B31/B7,0)</f>
        <v>40</v>
      </c>
      <c r="C32" s="128">
        <f t="shared" si="8"/>
        <v>40</v>
      </c>
      <c r="D32" s="128">
        <f t="shared" si="8"/>
        <v>40</v>
      </c>
      <c r="E32" s="128">
        <f t="shared" si="8"/>
        <v>40</v>
      </c>
      <c r="F32" s="128">
        <f t="shared" si="8"/>
        <v>40</v>
      </c>
      <c r="G32" s="128">
        <f t="shared" si="8"/>
        <v>40</v>
      </c>
      <c r="H32" s="128">
        <f t="shared" si="8"/>
        <v>40</v>
      </c>
      <c r="I32" s="128">
        <f t="shared" si="8"/>
        <v>40</v>
      </c>
      <c r="J32" s="72">
        <f t="shared" si="8"/>
        <v>40</v>
      </c>
    </row>
    <row r="33" spans="1:11" x14ac:dyDescent="0.2">
      <c r="A33" s="125" t="s">
        <v>123</v>
      </c>
      <c r="B33" s="169">
        <v>0.46</v>
      </c>
      <c r="C33" s="169">
        <v>0.46</v>
      </c>
      <c r="D33" s="169">
        <v>0.46</v>
      </c>
      <c r="E33" s="169">
        <v>0.46</v>
      </c>
      <c r="F33" s="169">
        <v>0.46</v>
      </c>
      <c r="G33" s="169">
        <v>0.46</v>
      </c>
      <c r="H33" s="169">
        <v>0.46</v>
      </c>
      <c r="I33" s="169">
        <v>0.46</v>
      </c>
      <c r="J33" s="170">
        <v>0.46</v>
      </c>
    </row>
    <row r="34" spans="1:11" x14ac:dyDescent="0.2">
      <c r="A34" s="125" t="s">
        <v>18</v>
      </c>
      <c r="B34" s="135">
        <f>ROUND(B31*B33,0)</f>
        <v>6716</v>
      </c>
      <c r="C34" s="135">
        <f t="shared" ref="C34:J34" si="9">ROUND(C31*C33,0)</f>
        <v>13432</v>
      </c>
      <c r="D34" s="135">
        <f t="shared" si="9"/>
        <v>20148</v>
      </c>
      <c r="E34" s="135">
        <f t="shared" si="9"/>
        <v>26864</v>
      </c>
      <c r="F34" s="135">
        <f t="shared" si="9"/>
        <v>33580</v>
      </c>
      <c r="G34" s="135">
        <f t="shared" si="9"/>
        <v>40296</v>
      </c>
      <c r="H34" s="135">
        <f t="shared" si="9"/>
        <v>47012</v>
      </c>
      <c r="I34" s="135">
        <f t="shared" si="9"/>
        <v>53728</v>
      </c>
      <c r="J34" s="136">
        <f t="shared" si="9"/>
        <v>60444</v>
      </c>
    </row>
    <row r="35" spans="1:11" x14ac:dyDescent="0.2">
      <c r="A35" s="125"/>
      <c r="B35" s="135"/>
      <c r="C35" s="135"/>
      <c r="D35" s="135"/>
      <c r="E35" s="135"/>
      <c r="F35" s="135"/>
      <c r="G35" s="135"/>
      <c r="H35" s="135"/>
      <c r="I35" s="135"/>
      <c r="J35" s="136"/>
    </row>
    <row r="36" spans="1:11" x14ac:dyDescent="0.2">
      <c r="A36" s="125" t="s">
        <v>383</v>
      </c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1" x14ac:dyDescent="0.2">
      <c r="A37" s="139" t="s">
        <v>78</v>
      </c>
      <c r="B37" s="169">
        <v>1</v>
      </c>
      <c r="C37" s="169">
        <v>1</v>
      </c>
      <c r="D37" s="169">
        <v>1</v>
      </c>
      <c r="E37" s="169">
        <v>0.7</v>
      </c>
      <c r="F37" s="169">
        <v>0.7</v>
      </c>
      <c r="G37" s="169">
        <v>0.7</v>
      </c>
      <c r="H37" s="169">
        <v>0.55000000000000004</v>
      </c>
      <c r="I37" s="169">
        <v>0.45</v>
      </c>
      <c r="J37" s="170">
        <v>0.45</v>
      </c>
    </row>
    <row r="38" spans="1:11" x14ac:dyDescent="0.2">
      <c r="A38" s="139" t="s">
        <v>79</v>
      </c>
      <c r="B38" s="169">
        <v>0</v>
      </c>
      <c r="C38" s="169">
        <v>0</v>
      </c>
      <c r="D38" s="169">
        <v>0</v>
      </c>
      <c r="E38" s="169">
        <v>0.3</v>
      </c>
      <c r="F38" s="169">
        <v>0.3</v>
      </c>
      <c r="G38" s="169">
        <v>0.3</v>
      </c>
      <c r="H38" s="169">
        <v>0.1</v>
      </c>
      <c r="I38" s="169">
        <v>0.1</v>
      </c>
      <c r="J38" s="170">
        <v>0.1</v>
      </c>
    </row>
    <row r="39" spans="1:11" x14ac:dyDescent="0.2">
      <c r="A39" s="139" t="s">
        <v>80</v>
      </c>
      <c r="B39" s="169">
        <v>0</v>
      </c>
      <c r="C39" s="169">
        <v>0</v>
      </c>
      <c r="D39" s="169">
        <v>0</v>
      </c>
      <c r="E39" s="169">
        <v>0</v>
      </c>
      <c r="F39" s="169">
        <v>0</v>
      </c>
      <c r="G39" s="169">
        <v>0</v>
      </c>
      <c r="H39" s="169">
        <v>0.35</v>
      </c>
      <c r="I39" s="169">
        <v>0.45</v>
      </c>
      <c r="J39" s="170">
        <v>0.45</v>
      </c>
    </row>
    <row r="40" spans="1:11" x14ac:dyDescent="0.2">
      <c r="A40" s="125"/>
      <c r="B40" s="135"/>
      <c r="C40" s="135"/>
      <c r="D40" s="135"/>
      <c r="E40" s="135"/>
      <c r="F40" s="135"/>
      <c r="G40" s="135"/>
      <c r="H40" s="135"/>
      <c r="I40" s="135"/>
      <c r="J40" s="136"/>
      <c r="K40" s="29"/>
    </row>
    <row r="41" spans="1:11" x14ac:dyDescent="0.2">
      <c r="A41" s="125" t="s">
        <v>126</v>
      </c>
      <c r="B41" s="135"/>
      <c r="C41" s="135"/>
      <c r="D41" s="135"/>
      <c r="E41" s="135"/>
      <c r="F41" s="135"/>
      <c r="G41" s="135"/>
      <c r="H41" s="135"/>
      <c r="I41" s="135"/>
      <c r="J41" s="136"/>
    </row>
    <row r="42" spans="1:11" x14ac:dyDescent="0.2">
      <c r="A42" s="139" t="s">
        <v>75</v>
      </c>
      <c r="B42" s="135">
        <f t="shared" ref="B42:J42" si="10">ROUND(B37*B31,1)</f>
        <v>14600</v>
      </c>
      <c r="C42" s="135">
        <f t="shared" si="10"/>
        <v>29200</v>
      </c>
      <c r="D42" s="135">
        <f t="shared" si="10"/>
        <v>43800</v>
      </c>
      <c r="E42" s="135">
        <f t="shared" si="10"/>
        <v>40880</v>
      </c>
      <c r="F42" s="135">
        <f t="shared" si="10"/>
        <v>51100</v>
      </c>
      <c r="G42" s="135">
        <f t="shared" si="10"/>
        <v>61320</v>
      </c>
      <c r="H42" s="135">
        <f t="shared" si="10"/>
        <v>56210</v>
      </c>
      <c r="I42" s="135">
        <f t="shared" si="10"/>
        <v>52560</v>
      </c>
      <c r="J42" s="136">
        <f t="shared" si="10"/>
        <v>59130</v>
      </c>
    </row>
    <row r="43" spans="1:11" x14ac:dyDescent="0.2">
      <c r="A43" s="139" t="s">
        <v>76</v>
      </c>
      <c r="B43" s="135">
        <f t="shared" ref="B43:J43" si="11">ROUND(B38*B31,1)</f>
        <v>0</v>
      </c>
      <c r="C43" s="135">
        <f t="shared" si="11"/>
        <v>0</v>
      </c>
      <c r="D43" s="135">
        <f t="shared" si="11"/>
        <v>0</v>
      </c>
      <c r="E43" s="135">
        <f t="shared" si="11"/>
        <v>17520</v>
      </c>
      <c r="F43" s="135">
        <f t="shared" si="11"/>
        <v>21900</v>
      </c>
      <c r="G43" s="135">
        <f t="shared" si="11"/>
        <v>26280</v>
      </c>
      <c r="H43" s="135">
        <f t="shared" si="11"/>
        <v>10220</v>
      </c>
      <c r="I43" s="135">
        <f t="shared" si="11"/>
        <v>11680</v>
      </c>
      <c r="J43" s="136">
        <f t="shared" si="11"/>
        <v>13140</v>
      </c>
    </row>
    <row r="44" spans="1:11" x14ac:dyDescent="0.2">
      <c r="A44" s="139" t="s">
        <v>77</v>
      </c>
      <c r="B44" s="135">
        <f t="shared" ref="B44:J44" si="12">ROUND(B39*B31,1)</f>
        <v>0</v>
      </c>
      <c r="C44" s="135">
        <f t="shared" si="12"/>
        <v>0</v>
      </c>
      <c r="D44" s="135">
        <f t="shared" si="12"/>
        <v>0</v>
      </c>
      <c r="E44" s="135">
        <f t="shared" si="12"/>
        <v>0</v>
      </c>
      <c r="F44" s="135">
        <f t="shared" si="12"/>
        <v>0</v>
      </c>
      <c r="G44" s="135">
        <f t="shared" si="12"/>
        <v>0</v>
      </c>
      <c r="H44" s="135">
        <f t="shared" si="12"/>
        <v>35770</v>
      </c>
      <c r="I44" s="135">
        <f t="shared" si="12"/>
        <v>52560</v>
      </c>
      <c r="J44" s="136">
        <f t="shared" si="12"/>
        <v>59130</v>
      </c>
    </row>
    <row r="45" spans="1:11" x14ac:dyDescent="0.2">
      <c r="A45" s="125" t="s">
        <v>73</v>
      </c>
      <c r="B45" s="135">
        <f>ROUND(B44*B540,1)</f>
        <v>0</v>
      </c>
      <c r="C45" s="135">
        <f t="shared" ref="C45:J45" si="13">C42+C43+C44</f>
        <v>29200</v>
      </c>
      <c r="D45" s="135">
        <f t="shared" si="13"/>
        <v>43800</v>
      </c>
      <c r="E45" s="135">
        <f t="shared" si="13"/>
        <v>58400</v>
      </c>
      <c r="F45" s="135">
        <f t="shared" si="13"/>
        <v>73000</v>
      </c>
      <c r="G45" s="135">
        <f t="shared" si="13"/>
        <v>87600</v>
      </c>
      <c r="H45" s="135">
        <f t="shared" si="13"/>
        <v>102200</v>
      </c>
      <c r="I45" s="135">
        <f t="shared" si="13"/>
        <v>116800</v>
      </c>
      <c r="J45" s="136">
        <f t="shared" si="13"/>
        <v>131400</v>
      </c>
    </row>
    <row r="46" spans="1:11" x14ac:dyDescent="0.2">
      <c r="A46" s="125" t="s">
        <v>29</v>
      </c>
      <c r="B46" s="135">
        <f>ROUND(B45*B541,1)</f>
        <v>0</v>
      </c>
      <c r="C46" s="135">
        <f t="shared" ref="C46:J46" si="14">C31-C45</f>
        <v>0</v>
      </c>
      <c r="D46" s="135">
        <f t="shared" si="14"/>
        <v>0</v>
      </c>
      <c r="E46" s="135">
        <f t="shared" si="14"/>
        <v>0</v>
      </c>
      <c r="F46" s="135">
        <f t="shared" si="14"/>
        <v>0</v>
      </c>
      <c r="G46" s="135">
        <f t="shared" si="14"/>
        <v>0</v>
      </c>
      <c r="H46" s="135">
        <f t="shared" si="14"/>
        <v>0</v>
      </c>
      <c r="I46" s="135">
        <f t="shared" si="14"/>
        <v>0</v>
      </c>
      <c r="J46" s="136">
        <f t="shared" si="14"/>
        <v>0</v>
      </c>
      <c r="K46" s="29"/>
    </row>
    <row r="47" spans="1:11" x14ac:dyDescent="0.2">
      <c r="A47" s="125"/>
      <c r="B47" s="135"/>
      <c r="C47" s="135"/>
      <c r="D47" s="135"/>
      <c r="E47" s="135"/>
      <c r="F47" s="135"/>
      <c r="G47" s="135"/>
      <c r="H47" s="135"/>
      <c r="I47" s="135"/>
      <c r="J47" s="136"/>
      <c r="K47" s="29"/>
    </row>
    <row r="48" spans="1:11" x14ac:dyDescent="0.2">
      <c r="A48" s="125"/>
      <c r="B48" s="135"/>
      <c r="C48" s="135"/>
      <c r="D48" s="135"/>
      <c r="E48" s="135"/>
      <c r="F48" s="135"/>
      <c r="G48" s="135"/>
      <c r="H48" s="135"/>
      <c r="I48" s="135"/>
      <c r="J48" s="136"/>
      <c r="K48" s="29"/>
    </row>
    <row r="49" spans="1:11" x14ac:dyDescent="0.2">
      <c r="A49" s="125"/>
      <c r="B49" s="135"/>
      <c r="C49" s="135"/>
      <c r="D49" s="135"/>
      <c r="E49" s="135"/>
      <c r="F49" s="135"/>
      <c r="G49" s="135"/>
      <c r="H49" s="135"/>
      <c r="I49" s="135"/>
      <c r="J49" s="136"/>
      <c r="K49" s="29"/>
    </row>
    <row r="50" spans="1:11" x14ac:dyDescent="0.2">
      <c r="A50" s="125"/>
      <c r="B50" s="135"/>
      <c r="C50" s="135"/>
      <c r="D50" s="135"/>
      <c r="E50" s="135"/>
      <c r="F50" s="135"/>
      <c r="G50" s="135"/>
      <c r="H50" s="135"/>
      <c r="I50" s="135"/>
      <c r="J50" s="136"/>
      <c r="K50" s="29"/>
    </row>
    <row r="51" spans="1:11" x14ac:dyDescent="0.2">
      <c r="A51" s="125"/>
      <c r="B51" s="135"/>
      <c r="C51" s="135"/>
      <c r="D51" s="135"/>
      <c r="E51" s="135"/>
      <c r="F51" s="135"/>
      <c r="G51" s="135"/>
      <c r="H51" s="135"/>
      <c r="I51" s="135"/>
      <c r="J51" s="136"/>
      <c r="K51" s="29"/>
    </row>
    <row r="52" spans="1:11" x14ac:dyDescent="0.2">
      <c r="A52" s="125"/>
      <c r="B52" s="135"/>
      <c r="C52" s="135"/>
      <c r="D52" s="135"/>
      <c r="E52" s="135"/>
      <c r="F52" s="135"/>
      <c r="G52" s="135"/>
      <c r="H52" s="135"/>
      <c r="I52" s="135"/>
      <c r="J52" s="136"/>
      <c r="K52" s="29"/>
    </row>
    <row r="53" spans="1:11" x14ac:dyDescent="0.2">
      <c r="A53" s="125"/>
      <c r="B53" s="135"/>
      <c r="C53" s="135"/>
      <c r="D53" s="135"/>
      <c r="E53" s="135"/>
      <c r="F53" s="135"/>
      <c r="G53" s="135"/>
      <c r="H53" s="135"/>
      <c r="I53" s="135"/>
      <c r="J53" s="136"/>
      <c r="K53" s="29"/>
    </row>
    <row r="54" spans="1:11" x14ac:dyDescent="0.2">
      <c r="A54" s="125"/>
      <c r="B54" s="135"/>
      <c r="C54" s="135"/>
      <c r="D54" s="135"/>
      <c r="E54" s="135"/>
      <c r="F54" s="135"/>
      <c r="G54" s="135"/>
      <c r="H54" s="135"/>
      <c r="I54" s="135"/>
      <c r="J54" s="136"/>
      <c r="K54" s="29"/>
    </row>
    <row r="55" spans="1:11" x14ac:dyDescent="0.2">
      <c r="A55" s="125"/>
      <c r="B55" s="135"/>
      <c r="C55" s="135"/>
      <c r="D55" s="135"/>
      <c r="E55" s="135"/>
      <c r="F55" s="135"/>
      <c r="G55" s="135"/>
      <c r="H55" s="135"/>
      <c r="I55" s="135"/>
      <c r="J55" s="136"/>
      <c r="K55" s="29"/>
    </row>
    <row r="56" spans="1:11" x14ac:dyDescent="0.2">
      <c r="A56" s="125"/>
      <c r="B56" s="135"/>
      <c r="C56" s="135"/>
      <c r="D56" s="135"/>
      <c r="E56" s="135"/>
      <c r="F56" s="135"/>
      <c r="G56" s="135"/>
      <c r="H56" s="135"/>
      <c r="I56" s="135"/>
      <c r="J56" s="136"/>
    </row>
    <row r="57" spans="1:11" x14ac:dyDescent="0.2">
      <c r="A57" s="125"/>
      <c r="B57" s="128"/>
      <c r="C57" s="128"/>
      <c r="D57" s="128"/>
      <c r="E57" s="128"/>
      <c r="F57" s="128"/>
      <c r="G57" s="128"/>
      <c r="H57" s="128"/>
      <c r="I57" s="128"/>
      <c r="J57" s="72"/>
    </row>
    <row r="58" spans="1:11" s="124" customFormat="1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</row>
    <row r="59" spans="1:11" x14ac:dyDescent="0.2">
      <c r="A59" s="502" t="s">
        <v>566</v>
      </c>
      <c r="B59" s="502"/>
      <c r="C59" s="502"/>
      <c r="D59" s="502"/>
      <c r="E59" s="502"/>
      <c r="F59" s="502"/>
      <c r="G59" s="502"/>
      <c r="H59" s="502"/>
      <c r="I59" s="502"/>
      <c r="J59" s="502"/>
    </row>
    <row r="60" spans="1:11" x14ac:dyDescent="0.2">
      <c r="A60" s="127" t="s">
        <v>48</v>
      </c>
      <c r="B60" s="171">
        <v>125000</v>
      </c>
      <c r="C60" s="171">
        <v>125000</v>
      </c>
      <c r="D60" s="171">
        <v>125000</v>
      </c>
      <c r="E60" s="171">
        <v>150000</v>
      </c>
      <c r="F60" s="171">
        <v>150000</v>
      </c>
      <c r="G60" s="171">
        <v>150000</v>
      </c>
      <c r="H60" s="171">
        <v>150000</v>
      </c>
      <c r="I60" s="171">
        <v>150000</v>
      </c>
      <c r="J60" s="172">
        <v>150000</v>
      </c>
    </row>
    <row r="61" spans="1:11" x14ac:dyDescent="0.2">
      <c r="A61" s="125" t="s">
        <v>49</v>
      </c>
      <c r="B61" s="171">
        <v>0</v>
      </c>
      <c r="C61" s="171">
        <v>0</v>
      </c>
      <c r="D61" s="171">
        <v>0</v>
      </c>
      <c r="E61" s="171">
        <v>0</v>
      </c>
      <c r="F61" s="171">
        <v>0</v>
      </c>
      <c r="G61" s="171">
        <v>0</v>
      </c>
      <c r="H61" s="171">
        <v>125000</v>
      </c>
      <c r="I61" s="171">
        <v>125000</v>
      </c>
      <c r="J61" s="172">
        <v>125000</v>
      </c>
    </row>
    <row r="62" spans="1:11" x14ac:dyDescent="0.2">
      <c r="A62" s="127" t="s">
        <v>50</v>
      </c>
      <c r="B62" s="171">
        <v>15000</v>
      </c>
      <c r="C62" s="171">
        <v>15000</v>
      </c>
      <c r="D62" s="171">
        <v>15000</v>
      </c>
      <c r="E62" s="171">
        <v>15000</v>
      </c>
      <c r="F62" s="171">
        <v>15000</v>
      </c>
      <c r="G62" s="171">
        <v>15000</v>
      </c>
      <c r="H62" s="171">
        <v>15000</v>
      </c>
      <c r="I62" s="171">
        <v>15000</v>
      </c>
      <c r="J62" s="172">
        <v>15000</v>
      </c>
    </row>
    <row r="63" spans="1:11" x14ac:dyDescent="0.2">
      <c r="A63" s="127" t="s">
        <v>51</v>
      </c>
      <c r="B63" s="171">
        <v>0</v>
      </c>
      <c r="C63" s="171">
        <v>0</v>
      </c>
      <c r="D63" s="171">
        <v>0</v>
      </c>
      <c r="E63" s="171">
        <v>0</v>
      </c>
      <c r="F63" s="171">
        <v>0</v>
      </c>
      <c r="G63" s="171">
        <v>0</v>
      </c>
      <c r="H63" s="171">
        <v>15000</v>
      </c>
      <c r="I63" s="171">
        <v>15000</v>
      </c>
      <c r="J63" s="172">
        <v>15000</v>
      </c>
    </row>
    <row r="64" spans="1:11" x14ac:dyDescent="0.2">
      <c r="A64" s="125" t="s">
        <v>31</v>
      </c>
      <c r="B64" s="171">
        <v>3500</v>
      </c>
      <c r="C64" s="171">
        <v>3500</v>
      </c>
      <c r="D64" s="171">
        <v>3500</v>
      </c>
      <c r="E64" s="171">
        <v>3500</v>
      </c>
      <c r="F64" s="171">
        <v>3500</v>
      </c>
      <c r="G64" s="171">
        <v>3500</v>
      </c>
      <c r="H64" s="171">
        <v>3500</v>
      </c>
      <c r="I64" s="171">
        <v>3500</v>
      </c>
      <c r="J64" s="172">
        <v>3500</v>
      </c>
    </row>
    <row r="65" spans="1:10" x14ac:dyDescent="0.2">
      <c r="A65" s="125" t="s">
        <v>32</v>
      </c>
      <c r="B65" s="173">
        <v>2</v>
      </c>
      <c r="C65" s="173">
        <v>2</v>
      </c>
      <c r="D65" s="173">
        <v>2</v>
      </c>
      <c r="E65" s="173">
        <v>3</v>
      </c>
      <c r="F65" s="173">
        <v>3</v>
      </c>
      <c r="G65" s="173">
        <v>3</v>
      </c>
      <c r="H65" s="173">
        <v>4</v>
      </c>
      <c r="I65" s="173">
        <v>5</v>
      </c>
      <c r="J65" s="174">
        <v>5</v>
      </c>
    </row>
    <row r="66" spans="1:10" x14ac:dyDescent="0.2">
      <c r="A66" s="125" t="s">
        <v>39</v>
      </c>
      <c r="B66" s="171">
        <v>130000</v>
      </c>
      <c r="C66" s="171">
        <v>130000</v>
      </c>
      <c r="D66" s="171">
        <v>130000</v>
      </c>
      <c r="E66" s="171">
        <v>130000</v>
      </c>
      <c r="F66" s="171">
        <v>130000</v>
      </c>
      <c r="G66" s="171">
        <v>130000</v>
      </c>
      <c r="H66" s="171">
        <v>130000</v>
      </c>
      <c r="I66" s="171">
        <v>130000</v>
      </c>
      <c r="J66" s="172">
        <v>130000</v>
      </c>
    </row>
    <row r="67" spans="1:10" x14ac:dyDescent="0.2">
      <c r="A67" s="125" t="s">
        <v>34</v>
      </c>
      <c r="B67" s="173">
        <v>2</v>
      </c>
      <c r="C67" s="173">
        <v>2</v>
      </c>
      <c r="D67" s="173">
        <v>2</v>
      </c>
      <c r="E67" s="173">
        <v>2</v>
      </c>
      <c r="F67" s="173">
        <v>2</v>
      </c>
      <c r="G67" s="173">
        <v>2</v>
      </c>
      <c r="H67" s="173">
        <v>2</v>
      </c>
      <c r="I67" s="173">
        <v>2</v>
      </c>
      <c r="J67" s="174">
        <v>2</v>
      </c>
    </row>
    <row r="68" spans="1:10" x14ac:dyDescent="0.2">
      <c r="A68" s="125" t="s">
        <v>40</v>
      </c>
      <c r="B68" s="171">
        <v>80000</v>
      </c>
      <c r="C68" s="171">
        <v>80000</v>
      </c>
      <c r="D68" s="171">
        <v>80000</v>
      </c>
      <c r="E68" s="171">
        <v>80000</v>
      </c>
      <c r="F68" s="171">
        <v>80000</v>
      </c>
      <c r="G68" s="171">
        <v>80000</v>
      </c>
      <c r="H68" s="171">
        <v>80000</v>
      </c>
      <c r="I68" s="171">
        <v>80000</v>
      </c>
      <c r="J68" s="172">
        <v>80000</v>
      </c>
    </row>
    <row r="69" spans="1:10" x14ac:dyDescent="0.2">
      <c r="A69" s="125" t="s">
        <v>36</v>
      </c>
      <c r="B69" s="173">
        <v>0</v>
      </c>
      <c r="C69" s="173">
        <v>0</v>
      </c>
      <c r="D69" s="173">
        <v>0</v>
      </c>
      <c r="E69" s="173">
        <v>1</v>
      </c>
      <c r="F69" s="173">
        <v>1</v>
      </c>
      <c r="G69" s="173">
        <v>1</v>
      </c>
      <c r="H69" s="173">
        <v>0</v>
      </c>
      <c r="I69" s="173">
        <v>0</v>
      </c>
      <c r="J69" s="174">
        <v>0</v>
      </c>
    </row>
    <row r="70" spans="1:10" x14ac:dyDescent="0.2">
      <c r="A70" s="125" t="s">
        <v>41</v>
      </c>
      <c r="B70" s="171">
        <v>130000</v>
      </c>
      <c r="C70" s="171">
        <v>130000</v>
      </c>
      <c r="D70" s="171">
        <v>130000</v>
      </c>
      <c r="E70" s="171">
        <v>130000</v>
      </c>
      <c r="F70" s="171">
        <v>130000</v>
      </c>
      <c r="G70" s="171">
        <v>130000</v>
      </c>
      <c r="H70" s="171">
        <v>130000</v>
      </c>
      <c r="I70" s="171">
        <v>130000</v>
      </c>
      <c r="J70" s="172">
        <v>130000</v>
      </c>
    </row>
    <row r="71" spans="1:10" x14ac:dyDescent="0.2">
      <c r="A71" s="125" t="s">
        <v>38</v>
      </c>
      <c r="B71" s="173">
        <v>0</v>
      </c>
      <c r="C71" s="173">
        <v>0</v>
      </c>
      <c r="D71" s="173">
        <v>0</v>
      </c>
      <c r="E71" s="173">
        <v>0</v>
      </c>
      <c r="F71" s="173">
        <v>0</v>
      </c>
      <c r="G71" s="173">
        <v>0</v>
      </c>
      <c r="H71" s="173">
        <v>1</v>
      </c>
      <c r="I71" s="173">
        <v>1</v>
      </c>
      <c r="J71" s="174">
        <v>1</v>
      </c>
    </row>
    <row r="72" spans="1:10" x14ac:dyDescent="0.2">
      <c r="A72" s="125" t="s">
        <v>47</v>
      </c>
      <c r="B72" s="171">
        <v>25000</v>
      </c>
      <c r="C72" s="171">
        <v>25000</v>
      </c>
      <c r="D72" s="171">
        <v>25000</v>
      </c>
      <c r="E72" s="171">
        <v>25000</v>
      </c>
      <c r="F72" s="171">
        <v>25000</v>
      </c>
      <c r="G72" s="171">
        <v>25000</v>
      </c>
      <c r="H72" s="171">
        <v>25000</v>
      </c>
      <c r="I72" s="171">
        <v>25000</v>
      </c>
      <c r="J72" s="172">
        <v>25000</v>
      </c>
    </row>
    <row r="73" spans="1:10" x14ac:dyDescent="0.2">
      <c r="A73" s="125" t="s">
        <v>43</v>
      </c>
      <c r="B73" s="173">
        <v>2</v>
      </c>
      <c r="C73" s="173">
        <v>2</v>
      </c>
      <c r="D73" s="173">
        <v>2</v>
      </c>
      <c r="E73" s="173">
        <v>0</v>
      </c>
      <c r="F73" s="173">
        <v>0</v>
      </c>
      <c r="G73" s="173">
        <v>0</v>
      </c>
      <c r="H73" s="173">
        <v>0</v>
      </c>
      <c r="I73" s="173">
        <v>0</v>
      </c>
      <c r="J73" s="174">
        <v>0</v>
      </c>
    </row>
    <row r="74" spans="1:10" x14ac:dyDescent="0.2">
      <c r="A74" s="125" t="s">
        <v>653</v>
      </c>
      <c r="B74" s="171">
        <f>ROUND(50000,0)</f>
        <v>50000</v>
      </c>
      <c r="C74" s="171">
        <f t="shared" ref="C74:G74" si="15">ROUND(50000,0)</f>
        <v>50000</v>
      </c>
      <c r="D74" s="171">
        <f t="shared" si="15"/>
        <v>50000</v>
      </c>
      <c r="E74" s="171">
        <f t="shared" si="15"/>
        <v>50000</v>
      </c>
      <c r="F74" s="171">
        <f t="shared" si="15"/>
        <v>50000</v>
      </c>
      <c r="G74" s="171">
        <f t="shared" si="15"/>
        <v>50000</v>
      </c>
      <c r="H74" s="171">
        <v>75000</v>
      </c>
      <c r="I74" s="171">
        <v>75000</v>
      </c>
      <c r="J74" s="172">
        <v>75000</v>
      </c>
    </row>
    <row r="75" spans="1:10" x14ac:dyDescent="0.2">
      <c r="A75" s="125" t="s">
        <v>652</v>
      </c>
      <c r="B75" s="173">
        <v>0</v>
      </c>
      <c r="C75" s="173">
        <v>0</v>
      </c>
      <c r="D75" s="173">
        <v>0</v>
      </c>
      <c r="E75" s="173">
        <v>3</v>
      </c>
      <c r="F75" s="173">
        <v>3</v>
      </c>
      <c r="G75" s="173">
        <v>3</v>
      </c>
      <c r="H75" s="173">
        <v>3</v>
      </c>
      <c r="I75" s="173">
        <v>3</v>
      </c>
      <c r="J75" s="174">
        <v>3</v>
      </c>
    </row>
    <row r="76" spans="1:10" x14ac:dyDescent="0.2">
      <c r="A76" s="125"/>
      <c r="B76" s="171"/>
      <c r="C76" s="171"/>
      <c r="D76" s="171"/>
      <c r="E76" s="171"/>
      <c r="F76" s="171"/>
      <c r="G76" s="171"/>
      <c r="H76" s="171"/>
      <c r="I76" s="171"/>
      <c r="J76" s="172"/>
    </row>
    <row r="77" spans="1:10" x14ac:dyDescent="0.2">
      <c r="A77" s="125"/>
      <c r="B77" s="173"/>
      <c r="C77" s="173"/>
      <c r="D77" s="173"/>
      <c r="E77" s="173"/>
      <c r="F77" s="173"/>
      <c r="G77" s="173"/>
      <c r="H77" s="173"/>
      <c r="I77" s="173"/>
      <c r="J77" s="174"/>
    </row>
    <row r="78" spans="1:10" x14ac:dyDescent="0.2">
      <c r="A78" s="125" t="s">
        <v>44</v>
      </c>
      <c r="B78" s="171">
        <v>10000</v>
      </c>
      <c r="C78" s="171">
        <v>10000</v>
      </c>
      <c r="D78" s="171">
        <v>10000</v>
      </c>
      <c r="E78" s="171">
        <v>10000</v>
      </c>
      <c r="F78" s="171">
        <v>10000</v>
      </c>
      <c r="G78" s="171">
        <v>10000</v>
      </c>
      <c r="H78" s="171">
        <v>10000</v>
      </c>
      <c r="I78" s="171">
        <v>10000</v>
      </c>
      <c r="J78" s="172">
        <v>10000</v>
      </c>
    </row>
    <row r="79" spans="1:10" x14ac:dyDescent="0.2">
      <c r="A79" s="125" t="s">
        <v>45</v>
      </c>
      <c r="B79" s="171">
        <v>150</v>
      </c>
      <c r="C79" s="171">
        <v>150</v>
      </c>
      <c r="D79" s="171">
        <v>150</v>
      </c>
      <c r="E79" s="171">
        <v>150</v>
      </c>
      <c r="F79" s="171">
        <v>150</v>
      </c>
      <c r="G79" s="171">
        <v>150</v>
      </c>
      <c r="H79" s="171">
        <v>150</v>
      </c>
      <c r="I79" s="171">
        <v>150</v>
      </c>
      <c r="J79" s="172">
        <v>150</v>
      </c>
    </row>
    <row r="80" spans="1:10" x14ac:dyDescent="0.2">
      <c r="A80" s="125" t="s">
        <v>222</v>
      </c>
      <c r="B80" s="173">
        <v>15</v>
      </c>
      <c r="C80" s="173">
        <v>15</v>
      </c>
      <c r="D80" s="173">
        <v>15</v>
      </c>
      <c r="E80" s="173">
        <v>17</v>
      </c>
      <c r="F80" s="173">
        <v>17</v>
      </c>
      <c r="G80" s="173">
        <v>17</v>
      </c>
      <c r="H80" s="173">
        <v>20</v>
      </c>
      <c r="I80" s="173">
        <v>20</v>
      </c>
      <c r="J80" s="174">
        <v>20</v>
      </c>
    </row>
    <row r="81" spans="1:10" x14ac:dyDescent="0.2">
      <c r="A81" s="125" t="s">
        <v>46</v>
      </c>
      <c r="B81" s="171">
        <f>ROUND(2000,0)</f>
        <v>2000</v>
      </c>
      <c r="C81" s="171">
        <f t="shared" ref="C81:J81" si="16">ROUND(2000,0)</f>
        <v>2000</v>
      </c>
      <c r="D81" s="171">
        <f t="shared" si="16"/>
        <v>2000</v>
      </c>
      <c r="E81" s="171">
        <f t="shared" si="16"/>
        <v>2000</v>
      </c>
      <c r="F81" s="171">
        <f t="shared" si="16"/>
        <v>2000</v>
      </c>
      <c r="G81" s="171">
        <f t="shared" si="16"/>
        <v>2000</v>
      </c>
      <c r="H81" s="171">
        <f t="shared" si="16"/>
        <v>2000</v>
      </c>
      <c r="I81" s="171">
        <f t="shared" si="16"/>
        <v>2000</v>
      </c>
      <c r="J81" s="172">
        <f t="shared" si="16"/>
        <v>2000</v>
      </c>
    </row>
    <row r="82" spans="1:10" ht="24" customHeight="1" x14ac:dyDescent="0.2">
      <c r="A82" s="127" t="s">
        <v>433</v>
      </c>
      <c r="B82" s="173">
        <v>2</v>
      </c>
      <c r="C82" s="173">
        <v>2</v>
      </c>
      <c r="D82" s="173">
        <v>2</v>
      </c>
      <c r="E82" s="173">
        <v>3</v>
      </c>
      <c r="F82" s="173">
        <v>3</v>
      </c>
      <c r="G82" s="173">
        <v>3</v>
      </c>
      <c r="H82" s="173">
        <v>3</v>
      </c>
      <c r="I82" s="173">
        <v>3</v>
      </c>
      <c r="J82" s="174">
        <v>3</v>
      </c>
    </row>
    <row r="83" spans="1:10" x14ac:dyDescent="0.2">
      <c r="A83" s="125"/>
      <c r="B83" s="128"/>
      <c r="C83" s="128"/>
      <c r="D83" s="128"/>
      <c r="E83" s="128"/>
      <c r="F83" s="128"/>
      <c r="G83" s="128"/>
      <c r="H83" s="128"/>
      <c r="I83" s="128"/>
      <c r="J83" s="72"/>
    </row>
    <row r="84" spans="1:10" s="455" customFormat="1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</row>
    <row r="85" spans="1:10" s="455" customFormat="1" x14ac:dyDescent="0.2">
      <c r="A85" s="502" t="s">
        <v>567</v>
      </c>
      <c r="B85" s="502"/>
      <c r="C85" s="502"/>
      <c r="D85" s="502"/>
      <c r="E85" s="502"/>
      <c r="F85" s="502"/>
      <c r="G85" s="502"/>
      <c r="H85" s="502"/>
      <c r="I85" s="502"/>
      <c r="J85" s="502"/>
    </row>
    <row r="86" spans="1:10" x14ac:dyDescent="0.2">
      <c r="A86" s="489"/>
      <c r="B86" s="173"/>
      <c r="C86" s="173"/>
      <c r="D86" s="173"/>
      <c r="E86" s="173"/>
      <c r="F86" s="173"/>
      <c r="G86" s="173"/>
      <c r="H86" s="173"/>
      <c r="I86" s="173"/>
      <c r="J86" s="174"/>
    </row>
    <row r="87" spans="1:10" x14ac:dyDescent="0.2">
      <c r="A87" s="489"/>
      <c r="B87" s="173"/>
      <c r="C87" s="173"/>
      <c r="D87" s="173"/>
      <c r="E87" s="173"/>
      <c r="F87" s="173"/>
      <c r="G87" s="173"/>
      <c r="H87" s="173"/>
      <c r="I87" s="173"/>
      <c r="J87" s="174"/>
    </row>
    <row r="88" spans="1:10" x14ac:dyDescent="0.2">
      <c r="A88" s="489"/>
      <c r="B88" s="173"/>
      <c r="C88" s="173"/>
      <c r="D88" s="173"/>
      <c r="E88" s="173"/>
      <c r="F88" s="173"/>
      <c r="G88" s="173"/>
      <c r="H88" s="173"/>
      <c r="I88" s="173"/>
      <c r="J88" s="174"/>
    </row>
    <row r="89" spans="1:10" x14ac:dyDescent="0.2">
      <c r="A89" s="489"/>
      <c r="B89" s="173"/>
      <c r="C89" s="173"/>
      <c r="D89" s="173"/>
      <c r="E89" s="173"/>
      <c r="F89" s="173"/>
      <c r="G89" s="173"/>
      <c r="H89" s="173"/>
      <c r="I89" s="173"/>
      <c r="J89" s="174"/>
    </row>
    <row r="90" spans="1:10" x14ac:dyDescent="0.2">
      <c r="A90" s="489"/>
      <c r="B90" s="173"/>
      <c r="C90" s="173"/>
      <c r="D90" s="173"/>
      <c r="E90" s="173"/>
      <c r="F90" s="173"/>
      <c r="G90" s="173"/>
      <c r="H90" s="173"/>
      <c r="I90" s="173"/>
      <c r="J90" s="174"/>
    </row>
    <row r="91" spans="1:10" x14ac:dyDescent="0.2">
      <c r="A91" s="489"/>
      <c r="B91" s="173"/>
      <c r="C91" s="173"/>
      <c r="D91" s="173"/>
      <c r="E91" s="173"/>
      <c r="F91" s="173"/>
      <c r="G91" s="173"/>
      <c r="H91" s="173"/>
      <c r="I91" s="173"/>
      <c r="J91" s="174"/>
    </row>
    <row r="92" spans="1:10" x14ac:dyDescent="0.2">
      <c r="A92" s="489"/>
      <c r="B92" s="173"/>
      <c r="C92" s="173"/>
      <c r="D92" s="173"/>
      <c r="E92" s="173"/>
      <c r="F92" s="173"/>
      <c r="G92" s="173"/>
      <c r="H92" s="173"/>
      <c r="I92" s="173"/>
      <c r="J92" s="174"/>
    </row>
    <row r="93" spans="1:10" x14ac:dyDescent="0.2">
      <c r="A93" s="489"/>
      <c r="B93" s="173"/>
      <c r="C93" s="173"/>
      <c r="D93" s="173"/>
      <c r="E93" s="173"/>
      <c r="F93" s="173"/>
      <c r="G93" s="173"/>
      <c r="H93" s="173"/>
      <c r="I93" s="173"/>
      <c r="J93" s="174"/>
    </row>
    <row r="94" spans="1:10" x14ac:dyDescent="0.2">
      <c r="A94" s="125"/>
      <c r="B94" s="128"/>
      <c r="C94" s="128"/>
      <c r="D94" s="128"/>
      <c r="E94" s="128"/>
      <c r="F94" s="128"/>
      <c r="G94" s="128"/>
      <c r="H94" s="128"/>
      <c r="I94" s="128"/>
      <c r="J94" s="72"/>
    </row>
    <row r="95" spans="1:10" x14ac:dyDescent="0.2">
      <c r="A95" s="125"/>
      <c r="B95" s="128"/>
      <c r="C95" s="128"/>
      <c r="D95" s="128"/>
      <c r="E95" s="128"/>
      <c r="F95" s="128"/>
      <c r="G95" s="128"/>
      <c r="H95" s="128"/>
      <c r="I95" s="128"/>
      <c r="J95" s="72"/>
    </row>
    <row r="96" spans="1:10" x14ac:dyDescent="0.2">
      <c r="A96" s="125"/>
      <c r="B96" s="128"/>
      <c r="C96" s="128"/>
      <c r="D96" s="128"/>
      <c r="E96" s="128"/>
      <c r="F96" s="128"/>
      <c r="G96" s="128"/>
      <c r="H96" s="128"/>
      <c r="I96" s="128"/>
      <c r="J96" s="72"/>
    </row>
    <row r="97" spans="1:10" s="124" customFormat="1" x14ac:dyDescent="0.2">
      <c r="A97" s="39"/>
      <c r="B97" s="39"/>
      <c r="C97" s="39"/>
      <c r="D97" s="39"/>
      <c r="E97" s="39"/>
      <c r="F97" s="39"/>
      <c r="G97" s="39"/>
      <c r="H97" s="39"/>
      <c r="I97" s="39"/>
      <c r="J97" s="39"/>
    </row>
    <row r="98" spans="1:10" x14ac:dyDescent="0.2">
      <c r="A98" s="502" t="s">
        <v>568</v>
      </c>
      <c r="B98" s="502"/>
      <c r="C98" s="502"/>
      <c r="D98" s="502"/>
      <c r="E98" s="502"/>
      <c r="F98" s="502"/>
      <c r="G98" s="502"/>
      <c r="H98" s="502"/>
      <c r="I98" s="502"/>
      <c r="J98" s="502"/>
    </row>
    <row r="99" spans="1:10" x14ac:dyDescent="0.2">
      <c r="A99" s="125" t="s">
        <v>52</v>
      </c>
      <c r="B99" s="126"/>
      <c r="C99" s="126"/>
      <c r="D99" s="126"/>
      <c r="E99" s="126"/>
      <c r="F99" s="126"/>
      <c r="G99" s="126"/>
      <c r="H99" s="126"/>
      <c r="I99" s="126"/>
      <c r="J99" s="82"/>
    </row>
    <row r="100" spans="1:10" x14ac:dyDescent="0.2">
      <c r="A100" s="139" t="s">
        <v>58</v>
      </c>
      <c r="B100" s="171">
        <v>0</v>
      </c>
      <c r="C100" s="171">
        <v>0</v>
      </c>
      <c r="D100" s="171">
        <v>0</v>
      </c>
      <c r="E100" s="171">
        <v>0</v>
      </c>
      <c r="F100" s="171">
        <v>0</v>
      </c>
      <c r="G100" s="171">
        <v>0</v>
      </c>
      <c r="H100" s="171">
        <v>0</v>
      </c>
      <c r="I100" s="171">
        <v>0</v>
      </c>
      <c r="J100" s="172">
        <v>0</v>
      </c>
    </row>
    <row r="101" spans="1:10" ht="25.5" x14ac:dyDescent="0.2">
      <c r="A101" s="227" t="s">
        <v>525</v>
      </c>
      <c r="B101" s="223">
        <f>B100*12</f>
        <v>0</v>
      </c>
      <c r="C101" s="223">
        <f t="shared" ref="C101:J101" si="17">C100*12</f>
        <v>0</v>
      </c>
      <c r="D101" s="223">
        <f t="shared" si="17"/>
        <v>0</v>
      </c>
      <c r="E101" s="223">
        <f t="shared" si="17"/>
        <v>0</v>
      </c>
      <c r="F101" s="223">
        <f t="shared" si="17"/>
        <v>0</v>
      </c>
      <c r="G101" s="223">
        <f t="shared" si="17"/>
        <v>0</v>
      </c>
      <c r="H101" s="223">
        <f t="shared" si="17"/>
        <v>0</v>
      </c>
      <c r="I101" s="223">
        <f t="shared" si="17"/>
        <v>0</v>
      </c>
      <c r="J101" s="224">
        <f t="shared" si="17"/>
        <v>0</v>
      </c>
    </row>
    <row r="102" spans="1:10" x14ac:dyDescent="0.2">
      <c r="A102" s="175" t="s">
        <v>55</v>
      </c>
      <c r="B102" s="128"/>
      <c r="C102" s="128"/>
      <c r="D102" s="128"/>
      <c r="E102" s="128"/>
      <c r="F102" s="128"/>
      <c r="G102" s="128"/>
      <c r="H102" s="128"/>
      <c r="I102" s="128"/>
      <c r="J102" s="72"/>
    </row>
    <row r="103" spans="1:10" x14ac:dyDescent="0.2">
      <c r="A103" s="139" t="s">
        <v>54</v>
      </c>
      <c r="B103" s="173" t="s">
        <v>56</v>
      </c>
      <c r="C103" s="173" t="s">
        <v>56</v>
      </c>
      <c r="D103" s="173" t="s">
        <v>56</v>
      </c>
      <c r="E103" s="173" t="s">
        <v>56</v>
      </c>
      <c r="F103" s="173" t="s">
        <v>56</v>
      </c>
      <c r="G103" s="173" t="s">
        <v>56</v>
      </c>
      <c r="H103" s="173" t="s">
        <v>56</v>
      </c>
      <c r="I103" s="173" t="s">
        <v>56</v>
      </c>
      <c r="J103" s="174" t="s">
        <v>396</v>
      </c>
    </row>
    <row r="104" spans="1:10" ht="25.5" x14ac:dyDescent="0.2">
      <c r="A104" s="155" t="s">
        <v>59</v>
      </c>
      <c r="B104" s="176">
        <v>9.3678999999999998E-2</v>
      </c>
      <c r="C104" s="176">
        <v>9.3678999999999998E-2</v>
      </c>
      <c r="D104" s="176">
        <v>9.3678999999999998E-2</v>
      </c>
      <c r="E104" s="176">
        <v>9.3678999999999998E-2</v>
      </c>
      <c r="F104" s="176">
        <v>9.3678999999999998E-2</v>
      </c>
      <c r="G104" s="176">
        <v>9.3678999999999998E-2</v>
      </c>
      <c r="H104" s="176">
        <v>9.3678999999999998E-2</v>
      </c>
      <c r="I104" s="176">
        <v>9.3678999999999998E-2</v>
      </c>
      <c r="J104" s="177">
        <v>9.4393000000000005E-2</v>
      </c>
    </row>
    <row r="105" spans="1:10" ht="25.5" x14ac:dyDescent="0.2">
      <c r="A105" s="227" t="s">
        <v>526</v>
      </c>
      <c r="B105" s="223">
        <f t="shared" ref="B105:J105" si="18">ROUND(B104*B60,0)</f>
        <v>11710</v>
      </c>
      <c r="C105" s="223">
        <f t="shared" si="18"/>
        <v>11710</v>
      </c>
      <c r="D105" s="223">
        <f t="shared" si="18"/>
        <v>11710</v>
      </c>
      <c r="E105" s="223">
        <f t="shared" si="18"/>
        <v>14052</v>
      </c>
      <c r="F105" s="223">
        <f t="shared" si="18"/>
        <v>14052</v>
      </c>
      <c r="G105" s="223">
        <f t="shared" si="18"/>
        <v>14052</v>
      </c>
      <c r="H105" s="223">
        <f t="shared" si="18"/>
        <v>14052</v>
      </c>
      <c r="I105" s="223">
        <f t="shared" si="18"/>
        <v>14052</v>
      </c>
      <c r="J105" s="224">
        <f t="shared" si="18"/>
        <v>14159</v>
      </c>
    </row>
    <row r="106" spans="1:10" s="65" customFormat="1" x14ac:dyDescent="0.2">
      <c r="A106" s="228" t="s">
        <v>530</v>
      </c>
      <c r="B106" s="179">
        <f>B105</f>
        <v>11710</v>
      </c>
      <c r="C106" s="179">
        <f t="shared" ref="C106:J106" si="19">C105</f>
        <v>11710</v>
      </c>
      <c r="D106" s="179">
        <f t="shared" si="19"/>
        <v>11710</v>
      </c>
      <c r="E106" s="179">
        <f t="shared" si="19"/>
        <v>14052</v>
      </c>
      <c r="F106" s="179">
        <f t="shared" si="19"/>
        <v>14052</v>
      </c>
      <c r="G106" s="179">
        <f t="shared" si="19"/>
        <v>14052</v>
      </c>
      <c r="H106" s="179">
        <f t="shared" si="19"/>
        <v>14052</v>
      </c>
      <c r="I106" s="179">
        <f t="shared" si="19"/>
        <v>14052</v>
      </c>
      <c r="J106" s="180">
        <f t="shared" si="19"/>
        <v>14159</v>
      </c>
    </row>
    <row r="107" spans="1:10" s="65" customFormat="1" x14ac:dyDescent="0.2">
      <c r="A107" s="181" t="s">
        <v>53</v>
      </c>
      <c r="B107" s="146"/>
      <c r="C107" s="146"/>
      <c r="D107" s="146"/>
      <c r="E107" s="146"/>
      <c r="F107" s="146"/>
      <c r="G107" s="146"/>
      <c r="H107" s="146"/>
      <c r="I107" s="146"/>
      <c r="J107" s="147"/>
    </row>
    <row r="108" spans="1:10" s="65" customFormat="1" x14ac:dyDescent="0.2">
      <c r="A108" s="182" t="s">
        <v>57</v>
      </c>
      <c r="B108" s="171">
        <v>0</v>
      </c>
      <c r="C108" s="171">
        <v>0</v>
      </c>
      <c r="D108" s="171">
        <v>0</v>
      </c>
      <c r="E108" s="171">
        <v>0</v>
      </c>
      <c r="F108" s="171">
        <v>0</v>
      </c>
      <c r="G108" s="171">
        <v>0</v>
      </c>
      <c r="H108" s="171">
        <v>0</v>
      </c>
      <c r="I108" s="171">
        <v>900</v>
      </c>
      <c r="J108" s="172">
        <v>0</v>
      </c>
    </row>
    <row r="109" spans="1:10" s="65" customFormat="1" ht="25.5" x14ac:dyDescent="0.2">
      <c r="A109" s="227" t="s">
        <v>527</v>
      </c>
      <c r="B109" s="223">
        <f t="shared" ref="B109:J109" si="20">B108*12</f>
        <v>0</v>
      </c>
      <c r="C109" s="223">
        <f t="shared" si="20"/>
        <v>0</v>
      </c>
      <c r="D109" s="223">
        <f t="shared" si="20"/>
        <v>0</v>
      </c>
      <c r="E109" s="223">
        <f t="shared" si="20"/>
        <v>0</v>
      </c>
      <c r="F109" s="223">
        <f t="shared" si="20"/>
        <v>0</v>
      </c>
      <c r="G109" s="223">
        <f t="shared" si="20"/>
        <v>0</v>
      </c>
      <c r="H109" s="223">
        <f t="shared" si="20"/>
        <v>0</v>
      </c>
      <c r="I109" s="223">
        <f t="shared" si="20"/>
        <v>10800</v>
      </c>
      <c r="J109" s="224">
        <f t="shared" si="20"/>
        <v>0</v>
      </c>
    </row>
    <row r="110" spans="1:10" s="65" customFormat="1" x14ac:dyDescent="0.2">
      <c r="A110" s="175" t="s">
        <v>55</v>
      </c>
      <c r="B110" s="128"/>
      <c r="C110" s="128"/>
      <c r="D110" s="128"/>
      <c r="E110" s="128"/>
      <c r="F110" s="128"/>
      <c r="G110" s="128"/>
      <c r="H110" s="128"/>
      <c r="I110" s="128"/>
      <c r="J110" s="72"/>
    </row>
    <row r="111" spans="1:10" s="65" customFormat="1" x14ac:dyDescent="0.2">
      <c r="A111" s="182" t="s">
        <v>54</v>
      </c>
      <c r="B111" s="173" t="s">
        <v>56</v>
      </c>
      <c r="C111" s="173" t="s">
        <v>56</v>
      </c>
      <c r="D111" s="173" t="s">
        <v>56</v>
      </c>
      <c r="E111" s="173" t="s">
        <v>56</v>
      </c>
      <c r="F111" s="173" t="s">
        <v>56</v>
      </c>
      <c r="G111" s="173" t="s">
        <v>56</v>
      </c>
      <c r="H111" s="173" t="s">
        <v>56</v>
      </c>
      <c r="I111" s="173" t="s">
        <v>56</v>
      </c>
      <c r="J111" s="174" t="s">
        <v>56</v>
      </c>
    </row>
    <row r="112" spans="1:10" s="65" customFormat="1" ht="25.5" x14ac:dyDescent="0.2">
      <c r="A112" s="178" t="s">
        <v>59</v>
      </c>
      <c r="B112" s="176">
        <v>9.3678999999999998E-2</v>
      </c>
      <c r="C112" s="176">
        <v>9.3678999999999998E-2</v>
      </c>
      <c r="D112" s="176">
        <v>9.3678999999999998E-2</v>
      </c>
      <c r="E112" s="176">
        <v>9.3678999999999998E-2</v>
      </c>
      <c r="F112" s="176">
        <v>9.3678999999999998E-2</v>
      </c>
      <c r="G112" s="176">
        <v>9.3678999999999998E-2</v>
      </c>
      <c r="H112" s="176">
        <v>9.3678999999999998E-2</v>
      </c>
      <c r="I112" s="176">
        <v>9.3678999999999998E-2</v>
      </c>
      <c r="J112" s="177">
        <v>9.3678999999999998E-2</v>
      </c>
    </row>
    <row r="113" spans="1:10" s="65" customFormat="1" ht="25.5" x14ac:dyDescent="0.2">
      <c r="A113" s="227" t="s">
        <v>528</v>
      </c>
      <c r="B113" s="223">
        <f t="shared" ref="B113:J113" si="21">ROUND(B112*B61,0)</f>
        <v>0</v>
      </c>
      <c r="C113" s="223">
        <f t="shared" si="21"/>
        <v>0</v>
      </c>
      <c r="D113" s="223">
        <f t="shared" si="21"/>
        <v>0</v>
      </c>
      <c r="E113" s="223">
        <f t="shared" si="21"/>
        <v>0</v>
      </c>
      <c r="F113" s="223">
        <f t="shared" si="21"/>
        <v>0</v>
      </c>
      <c r="G113" s="223">
        <f t="shared" si="21"/>
        <v>0</v>
      </c>
      <c r="H113" s="223">
        <f t="shared" si="21"/>
        <v>11710</v>
      </c>
      <c r="I113" s="223">
        <f t="shared" si="21"/>
        <v>11710</v>
      </c>
      <c r="J113" s="224">
        <f t="shared" si="21"/>
        <v>11710</v>
      </c>
    </row>
    <row r="114" spans="1:10" s="65" customFormat="1" x14ac:dyDescent="0.2">
      <c r="A114" s="228" t="s">
        <v>529</v>
      </c>
      <c r="B114" s="179">
        <f>B113</f>
        <v>0</v>
      </c>
      <c r="C114" s="179">
        <f t="shared" ref="C114:J114" si="22">C113</f>
        <v>0</v>
      </c>
      <c r="D114" s="179">
        <f t="shared" si="22"/>
        <v>0</v>
      </c>
      <c r="E114" s="179">
        <f t="shared" si="22"/>
        <v>0</v>
      </c>
      <c r="F114" s="179">
        <f t="shared" si="22"/>
        <v>0</v>
      </c>
      <c r="G114" s="179">
        <f t="shared" si="22"/>
        <v>0</v>
      </c>
      <c r="H114" s="179">
        <f>H106</f>
        <v>14052</v>
      </c>
      <c r="I114" s="179">
        <f>I109</f>
        <v>10800</v>
      </c>
      <c r="J114" s="180">
        <f t="shared" si="22"/>
        <v>11710</v>
      </c>
    </row>
    <row r="115" spans="1:10" s="65" customFormat="1" x14ac:dyDescent="0.2">
      <c r="A115" s="181" t="s">
        <v>60</v>
      </c>
      <c r="B115" s="173">
        <v>5</v>
      </c>
      <c r="C115" s="173">
        <v>5</v>
      </c>
      <c r="D115" s="173">
        <v>5</v>
      </c>
      <c r="E115" s="173">
        <v>5</v>
      </c>
      <c r="F115" s="173">
        <v>5</v>
      </c>
      <c r="G115" s="173">
        <v>5</v>
      </c>
      <c r="H115" s="173">
        <v>5</v>
      </c>
      <c r="I115" s="173">
        <v>5</v>
      </c>
      <c r="J115" s="174">
        <v>5</v>
      </c>
    </row>
    <row r="116" spans="1:10" s="65" customFormat="1" x14ac:dyDescent="0.2">
      <c r="A116" s="183" t="s">
        <v>61</v>
      </c>
      <c r="B116" s="173">
        <v>5</v>
      </c>
      <c r="C116" s="173">
        <v>5</v>
      </c>
      <c r="D116" s="173">
        <v>5</v>
      </c>
      <c r="E116" s="173">
        <v>5</v>
      </c>
      <c r="F116" s="173">
        <v>5</v>
      </c>
      <c r="G116" s="173">
        <v>5</v>
      </c>
      <c r="H116" s="173">
        <v>5</v>
      </c>
      <c r="I116" s="173">
        <v>5</v>
      </c>
      <c r="J116" s="174">
        <v>5</v>
      </c>
    </row>
    <row r="117" spans="1:10" s="65" customFormat="1" x14ac:dyDescent="0.2">
      <c r="A117" s="183" t="s">
        <v>87</v>
      </c>
      <c r="B117" s="173">
        <v>3</v>
      </c>
      <c r="C117" s="173">
        <v>3</v>
      </c>
      <c r="D117" s="173">
        <v>3</v>
      </c>
      <c r="E117" s="173">
        <v>3</v>
      </c>
      <c r="F117" s="173">
        <v>3</v>
      </c>
      <c r="G117" s="173">
        <v>3</v>
      </c>
      <c r="H117" s="173">
        <v>3</v>
      </c>
      <c r="I117" s="173">
        <v>3</v>
      </c>
      <c r="J117" s="174">
        <v>3</v>
      </c>
    </row>
    <row r="118" spans="1:10" s="65" customFormat="1" x14ac:dyDescent="0.2">
      <c r="A118" s="183" t="s">
        <v>74</v>
      </c>
      <c r="B118" s="167">
        <v>100000</v>
      </c>
      <c r="C118" s="167">
        <v>100000</v>
      </c>
      <c r="D118" s="167">
        <v>100000</v>
      </c>
      <c r="E118" s="167">
        <v>100000</v>
      </c>
      <c r="F118" s="167">
        <v>100000</v>
      </c>
      <c r="G118" s="167">
        <v>100000</v>
      </c>
      <c r="H118" s="167">
        <v>100000</v>
      </c>
      <c r="I118" s="167">
        <v>100000</v>
      </c>
      <c r="J118" s="168">
        <v>100000</v>
      </c>
    </row>
    <row r="119" spans="1:10" s="65" customFormat="1" x14ac:dyDescent="0.2">
      <c r="A119" s="181" t="s">
        <v>62</v>
      </c>
      <c r="B119" s="184">
        <f t="shared" ref="B119:J119" si="23">IFERROR(ROUND((B118/B42)/B67,1),"0")</f>
        <v>3.4</v>
      </c>
      <c r="C119" s="184">
        <f t="shared" si="23"/>
        <v>1.7</v>
      </c>
      <c r="D119" s="184">
        <f t="shared" si="23"/>
        <v>1.1000000000000001</v>
      </c>
      <c r="E119" s="184">
        <f t="shared" si="23"/>
        <v>1.2</v>
      </c>
      <c r="F119" s="184">
        <f t="shared" si="23"/>
        <v>1</v>
      </c>
      <c r="G119" s="184">
        <f t="shared" si="23"/>
        <v>0.8</v>
      </c>
      <c r="H119" s="184">
        <f t="shared" si="23"/>
        <v>0.9</v>
      </c>
      <c r="I119" s="184">
        <f t="shared" si="23"/>
        <v>1</v>
      </c>
      <c r="J119" s="185">
        <f t="shared" si="23"/>
        <v>0.8</v>
      </c>
    </row>
    <row r="120" spans="1:10" s="65" customFormat="1" x14ac:dyDescent="0.2">
      <c r="A120" s="181" t="s">
        <v>64</v>
      </c>
      <c r="B120" s="184" t="str">
        <f t="shared" ref="B120:J120" si="24">IFERROR(ROUND((B118/B43)/B69,1),"0")</f>
        <v>0</v>
      </c>
      <c r="C120" s="184" t="str">
        <f t="shared" si="24"/>
        <v>0</v>
      </c>
      <c r="D120" s="184" t="str">
        <f t="shared" si="24"/>
        <v>0</v>
      </c>
      <c r="E120" s="184">
        <f t="shared" si="24"/>
        <v>5.7</v>
      </c>
      <c r="F120" s="184">
        <f t="shared" si="24"/>
        <v>4.5999999999999996</v>
      </c>
      <c r="G120" s="184">
        <f t="shared" si="24"/>
        <v>3.8</v>
      </c>
      <c r="H120" s="184" t="str">
        <f t="shared" si="24"/>
        <v>0</v>
      </c>
      <c r="I120" s="184" t="str">
        <f t="shared" si="24"/>
        <v>0</v>
      </c>
      <c r="J120" s="185" t="str">
        <f t="shared" si="24"/>
        <v>0</v>
      </c>
    </row>
    <row r="121" spans="1:10" s="65" customFormat="1" x14ac:dyDescent="0.2">
      <c r="A121" s="181" t="s">
        <v>63</v>
      </c>
      <c r="B121" s="184" t="str">
        <f t="shared" ref="B121:J121" si="25">IFERROR(ROUND(((B118/B44)/B71),1),"0")</f>
        <v>0</v>
      </c>
      <c r="C121" s="184" t="str">
        <f t="shared" si="25"/>
        <v>0</v>
      </c>
      <c r="D121" s="184" t="str">
        <f t="shared" si="25"/>
        <v>0</v>
      </c>
      <c r="E121" s="184" t="str">
        <f t="shared" si="25"/>
        <v>0</v>
      </c>
      <c r="F121" s="184" t="str">
        <f t="shared" si="25"/>
        <v>0</v>
      </c>
      <c r="G121" s="184" t="str">
        <f t="shared" si="25"/>
        <v>0</v>
      </c>
      <c r="H121" s="184">
        <f t="shared" si="25"/>
        <v>2.8</v>
      </c>
      <c r="I121" s="184">
        <f t="shared" si="25"/>
        <v>1.9</v>
      </c>
      <c r="J121" s="185">
        <f t="shared" si="25"/>
        <v>1.7</v>
      </c>
    </row>
    <row r="122" spans="1:10" x14ac:dyDescent="0.2">
      <c r="A122" s="125" t="s">
        <v>65</v>
      </c>
      <c r="B122" s="184">
        <f t="shared" ref="B122:J122" si="26">IFERROR(ROUND((B118/B42)/B67,1),"0")</f>
        <v>3.4</v>
      </c>
      <c r="C122" s="184">
        <f t="shared" si="26"/>
        <v>1.7</v>
      </c>
      <c r="D122" s="184">
        <f t="shared" si="26"/>
        <v>1.1000000000000001</v>
      </c>
      <c r="E122" s="184">
        <f t="shared" si="26"/>
        <v>1.2</v>
      </c>
      <c r="F122" s="184">
        <f t="shared" si="26"/>
        <v>1</v>
      </c>
      <c r="G122" s="184">
        <f t="shared" si="26"/>
        <v>0.8</v>
      </c>
      <c r="H122" s="184">
        <f t="shared" si="26"/>
        <v>0.9</v>
      </c>
      <c r="I122" s="184">
        <f t="shared" si="26"/>
        <v>1</v>
      </c>
      <c r="J122" s="185">
        <f t="shared" si="26"/>
        <v>0.8</v>
      </c>
    </row>
    <row r="123" spans="1:10" x14ac:dyDescent="0.2">
      <c r="A123" s="125" t="s">
        <v>671</v>
      </c>
      <c r="B123" s="184" t="str">
        <f t="shared" ref="B123:G123" si="27">IFERROR(ROUND((B118/B43)/B69,1),"0")</f>
        <v>0</v>
      </c>
      <c r="C123" s="184" t="str">
        <f t="shared" si="27"/>
        <v>0</v>
      </c>
      <c r="D123" s="184" t="str">
        <f t="shared" si="27"/>
        <v>0</v>
      </c>
      <c r="E123" s="184">
        <f t="shared" si="27"/>
        <v>5.7</v>
      </c>
      <c r="F123" s="184">
        <f t="shared" si="27"/>
        <v>4.5999999999999996</v>
      </c>
      <c r="G123" s="184">
        <f t="shared" si="27"/>
        <v>3.8</v>
      </c>
      <c r="H123" s="184">
        <f>IFERROR(ROUND(((H118/H44)/H71),1),"0")</f>
        <v>2.8</v>
      </c>
      <c r="I123" s="184">
        <f>IFERROR(ROUND(((I118/I44)/I71),1),"0")</f>
        <v>1.9</v>
      </c>
      <c r="J123" s="185">
        <f>IFERROR(ROUND(((J118/J44)/J71),1),"0")</f>
        <v>1.7</v>
      </c>
    </row>
    <row r="124" spans="1:10" x14ac:dyDescent="0.2">
      <c r="A124" s="128"/>
      <c r="B124" s="184"/>
      <c r="C124" s="184"/>
      <c r="D124" s="184"/>
      <c r="E124" s="184"/>
      <c r="F124" s="184"/>
      <c r="G124" s="184"/>
      <c r="H124" s="128"/>
      <c r="I124" s="128"/>
      <c r="J124" s="128"/>
    </row>
    <row r="126" spans="1:10" s="124" customFormat="1" x14ac:dyDescent="0.2">
      <c r="A126" s="502" t="s">
        <v>569</v>
      </c>
      <c r="B126" s="502"/>
      <c r="C126" s="502"/>
      <c r="D126" s="502"/>
      <c r="E126" s="502"/>
      <c r="F126" s="502"/>
      <c r="G126" s="502"/>
      <c r="H126" s="502"/>
      <c r="I126" s="502"/>
      <c r="J126" s="502"/>
    </row>
    <row r="127" spans="1:10" x14ac:dyDescent="0.2">
      <c r="A127" s="125" t="s">
        <v>67</v>
      </c>
      <c r="B127" s="173">
        <v>10</v>
      </c>
      <c r="C127" s="173">
        <v>10</v>
      </c>
      <c r="D127" s="173">
        <v>10</v>
      </c>
      <c r="E127" s="173">
        <v>10</v>
      </c>
      <c r="F127" s="173">
        <v>10</v>
      </c>
      <c r="G127" s="173">
        <v>10</v>
      </c>
      <c r="H127" s="173">
        <v>10</v>
      </c>
      <c r="I127" s="173">
        <v>10</v>
      </c>
      <c r="J127" s="174">
        <v>10</v>
      </c>
    </row>
    <row r="128" spans="1:10" x14ac:dyDescent="0.2">
      <c r="A128" s="125" t="s">
        <v>68</v>
      </c>
      <c r="B128" s="173">
        <v>3</v>
      </c>
      <c r="C128" s="173">
        <v>3</v>
      </c>
      <c r="D128" s="173">
        <v>3</v>
      </c>
      <c r="E128" s="173">
        <v>3</v>
      </c>
      <c r="F128" s="173">
        <v>3</v>
      </c>
      <c r="G128" s="173">
        <v>3</v>
      </c>
      <c r="H128" s="173">
        <v>3</v>
      </c>
      <c r="I128" s="173">
        <v>3</v>
      </c>
      <c r="J128" s="174">
        <v>3</v>
      </c>
    </row>
    <row r="129" spans="1:10" x14ac:dyDescent="0.2">
      <c r="A129" s="125" t="s">
        <v>69</v>
      </c>
      <c r="B129" s="173">
        <v>5</v>
      </c>
      <c r="C129" s="173">
        <v>5</v>
      </c>
      <c r="D129" s="173">
        <v>5</v>
      </c>
      <c r="E129" s="173">
        <v>5</v>
      </c>
      <c r="F129" s="173">
        <v>5</v>
      </c>
      <c r="G129" s="173">
        <v>5</v>
      </c>
      <c r="H129" s="173">
        <v>5</v>
      </c>
      <c r="I129" s="173">
        <v>5</v>
      </c>
      <c r="J129" s="174">
        <v>5</v>
      </c>
    </row>
    <row r="130" spans="1:10" x14ac:dyDescent="0.2">
      <c r="A130" s="489"/>
      <c r="B130" s="173"/>
      <c r="C130" s="173"/>
      <c r="D130" s="173"/>
      <c r="E130" s="173"/>
      <c r="F130" s="173"/>
      <c r="G130" s="173"/>
      <c r="H130" s="173"/>
      <c r="I130" s="173"/>
      <c r="J130" s="174"/>
    </row>
    <row r="131" spans="1:10" x14ac:dyDescent="0.2">
      <c r="A131" s="489"/>
      <c r="B131" s="173"/>
      <c r="C131" s="173"/>
      <c r="D131" s="173"/>
      <c r="E131" s="173"/>
      <c r="F131" s="173"/>
      <c r="G131" s="173"/>
      <c r="H131" s="173"/>
      <c r="I131" s="173"/>
      <c r="J131" s="174"/>
    </row>
    <row r="132" spans="1:10" x14ac:dyDescent="0.2">
      <c r="A132" s="489"/>
      <c r="B132" s="173"/>
      <c r="C132" s="173"/>
      <c r="D132" s="173"/>
      <c r="E132" s="173"/>
      <c r="F132" s="173"/>
      <c r="G132" s="173"/>
      <c r="H132" s="173"/>
      <c r="I132" s="173"/>
      <c r="J132" s="174"/>
    </row>
    <row r="133" spans="1:10" x14ac:dyDescent="0.2">
      <c r="A133" s="489"/>
      <c r="B133" s="173"/>
      <c r="C133" s="173"/>
      <c r="D133" s="173"/>
      <c r="E133" s="173"/>
      <c r="F133" s="173"/>
      <c r="G133" s="173"/>
      <c r="H133" s="173"/>
      <c r="I133" s="173"/>
      <c r="J133" s="174"/>
    </row>
    <row r="134" spans="1:10" x14ac:dyDescent="0.2">
      <c r="A134" s="489"/>
      <c r="B134" s="173"/>
      <c r="C134" s="173"/>
      <c r="D134" s="173"/>
      <c r="E134" s="173"/>
      <c r="F134" s="173"/>
      <c r="G134" s="173"/>
      <c r="H134" s="173"/>
      <c r="I134" s="173"/>
      <c r="J134" s="174"/>
    </row>
    <row r="135" spans="1:10" x14ac:dyDescent="0.2">
      <c r="A135" s="489"/>
      <c r="B135" s="173"/>
      <c r="C135" s="173"/>
      <c r="D135" s="173"/>
      <c r="E135" s="173"/>
      <c r="F135" s="173"/>
      <c r="G135" s="173"/>
      <c r="H135" s="173"/>
      <c r="I135" s="173"/>
      <c r="J135" s="174"/>
    </row>
    <row r="136" spans="1:10" x14ac:dyDescent="0.2">
      <c r="A136" s="489"/>
      <c r="B136" s="173"/>
      <c r="C136" s="173"/>
      <c r="D136" s="173"/>
      <c r="E136" s="173"/>
      <c r="F136" s="173"/>
      <c r="G136" s="173"/>
      <c r="H136" s="173"/>
      <c r="I136" s="173"/>
      <c r="J136" s="174"/>
    </row>
    <row r="137" spans="1:10" x14ac:dyDescent="0.2">
      <c r="A137" s="125"/>
      <c r="B137" s="128"/>
      <c r="C137" s="128"/>
      <c r="D137" s="128"/>
      <c r="E137" s="128"/>
      <c r="F137" s="128"/>
      <c r="G137" s="128"/>
      <c r="H137" s="128"/>
      <c r="I137" s="128"/>
      <c r="J137" s="72"/>
    </row>
    <row r="138" spans="1:10" x14ac:dyDescent="0.2">
      <c r="A138" s="125"/>
      <c r="B138" s="128"/>
      <c r="C138" s="128"/>
      <c r="D138" s="128"/>
      <c r="E138" s="128"/>
      <c r="F138" s="128"/>
      <c r="G138" s="128"/>
      <c r="H138" s="128"/>
      <c r="I138" s="128"/>
      <c r="J138" s="72"/>
    </row>
    <row r="139" spans="1:10" x14ac:dyDescent="0.2">
      <c r="A139" s="125"/>
      <c r="B139" s="128"/>
      <c r="C139" s="128"/>
      <c r="D139" s="128"/>
      <c r="E139" s="128"/>
      <c r="F139" s="128"/>
      <c r="G139" s="128"/>
      <c r="H139" s="128"/>
      <c r="I139" s="128"/>
      <c r="J139" s="72"/>
    </row>
    <row r="140" spans="1:10" x14ac:dyDescent="0.2">
      <c r="A140" s="125"/>
      <c r="B140" s="128"/>
      <c r="C140" s="128"/>
      <c r="D140" s="128"/>
      <c r="E140" s="128"/>
      <c r="F140" s="128"/>
      <c r="G140" s="128"/>
      <c r="H140" s="128"/>
      <c r="I140" s="128"/>
      <c r="J140" s="72"/>
    </row>
    <row r="141" spans="1:10" s="124" customFormat="1" x14ac:dyDescent="0.2">
      <c r="A141" s="39"/>
      <c r="B141" s="39"/>
      <c r="C141" s="39"/>
      <c r="D141" s="39"/>
      <c r="E141" s="39"/>
      <c r="F141" s="39"/>
      <c r="G141" s="39"/>
      <c r="H141" s="39"/>
      <c r="I141" s="39"/>
      <c r="J141" s="39"/>
    </row>
    <row r="142" spans="1:10" x14ac:dyDescent="0.2">
      <c r="A142" s="502" t="s">
        <v>570</v>
      </c>
      <c r="B142" s="502"/>
      <c r="C142" s="502"/>
      <c r="D142" s="502"/>
      <c r="E142" s="502"/>
      <c r="F142" s="502"/>
      <c r="G142" s="502"/>
      <c r="H142" s="502"/>
      <c r="I142" s="502"/>
      <c r="J142" s="502"/>
    </row>
    <row r="143" spans="1:10" x14ac:dyDescent="0.2">
      <c r="A143" s="26" t="s">
        <v>94</v>
      </c>
    </row>
    <row r="144" spans="1:10" x14ac:dyDescent="0.2">
      <c r="A144" s="66" t="s">
        <v>122</v>
      </c>
      <c r="B144" s="67"/>
      <c r="C144" s="67"/>
      <c r="D144" s="67"/>
      <c r="E144" s="67"/>
      <c r="F144" s="67"/>
      <c r="G144" s="67"/>
      <c r="H144" s="67"/>
      <c r="I144" s="67"/>
      <c r="J144" s="67"/>
    </row>
    <row r="145" spans="1:10" ht="13.5" x14ac:dyDescent="0.25">
      <c r="A145" s="503" t="s">
        <v>95</v>
      </c>
      <c r="B145" s="503"/>
      <c r="C145" s="503"/>
      <c r="D145" s="503"/>
      <c r="E145" s="503"/>
      <c r="F145" s="503"/>
      <c r="G145" s="503"/>
      <c r="H145" s="503"/>
      <c r="I145" s="503"/>
      <c r="J145" s="503"/>
    </row>
    <row r="146" spans="1:10" ht="38.25" x14ac:dyDescent="0.2">
      <c r="A146" s="140" t="s">
        <v>96</v>
      </c>
      <c r="B146" s="483" t="s">
        <v>571</v>
      </c>
      <c r="C146" s="483" t="s">
        <v>97</v>
      </c>
      <c r="D146" s="483" t="s">
        <v>97</v>
      </c>
      <c r="E146" s="483" t="s">
        <v>572</v>
      </c>
      <c r="F146" s="483" t="s">
        <v>572</v>
      </c>
      <c r="G146" s="483" t="s">
        <v>572</v>
      </c>
      <c r="H146" s="483" t="s">
        <v>573</v>
      </c>
      <c r="I146" s="483" t="s">
        <v>573</v>
      </c>
      <c r="J146" s="483" t="s">
        <v>573</v>
      </c>
    </row>
    <row r="147" spans="1:10" x14ac:dyDescent="0.2">
      <c r="A147" s="67" t="s">
        <v>101</v>
      </c>
      <c r="B147" s="67"/>
      <c r="C147" s="67"/>
      <c r="D147" s="67"/>
      <c r="E147" s="67"/>
      <c r="F147" s="67"/>
      <c r="G147" s="67"/>
      <c r="H147" s="67"/>
      <c r="I147" s="67"/>
      <c r="J147" s="67"/>
    </row>
    <row r="148" spans="1:10" x14ac:dyDescent="0.2">
      <c r="A148" s="194" t="s">
        <v>98</v>
      </c>
      <c r="B148" s="195">
        <v>0</v>
      </c>
      <c r="C148" s="195">
        <v>0</v>
      </c>
      <c r="D148" s="195">
        <v>0</v>
      </c>
      <c r="E148" s="195">
        <v>0</v>
      </c>
      <c r="F148" s="195">
        <v>0</v>
      </c>
      <c r="G148" s="195">
        <v>0</v>
      </c>
      <c r="H148" s="195">
        <v>0</v>
      </c>
      <c r="I148" s="195">
        <v>0</v>
      </c>
      <c r="J148" s="196">
        <v>0</v>
      </c>
    </row>
    <row r="149" spans="1:10" x14ac:dyDescent="0.2">
      <c r="A149" s="139" t="s">
        <v>99</v>
      </c>
      <c r="B149" s="167">
        <v>0</v>
      </c>
      <c r="C149" s="167">
        <v>0</v>
      </c>
      <c r="D149" s="167">
        <v>0</v>
      </c>
      <c r="E149" s="167">
        <v>0</v>
      </c>
      <c r="F149" s="167">
        <v>0</v>
      </c>
      <c r="G149" s="167">
        <v>0</v>
      </c>
      <c r="H149" s="167">
        <v>0</v>
      </c>
      <c r="I149" s="167">
        <v>0</v>
      </c>
      <c r="J149" s="168">
        <v>0</v>
      </c>
    </row>
    <row r="150" spans="1:10" x14ac:dyDescent="0.2">
      <c r="A150" s="139" t="s">
        <v>104</v>
      </c>
      <c r="B150" s="126">
        <f>ROUND(B148*B149,0)</f>
        <v>0</v>
      </c>
      <c r="C150" s="126">
        <v>0</v>
      </c>
      <c r="D150" s="126">
        <v>0</v>
      </c>
      <c r="E150" s="126">
        <v>0</v>
      </c>
      <c r="F150" s="126">
        <v>0</v>
      </c>
      <c r="G150" s="126">
        <v>0</v>
      </c>
      <c r="H150" s="126">
        <v>0</v>
      </c>
      <c r="I150" s="126">
        <v>0</v>
      </c>
      <c r="J150" s="82">
        <v>0</v>
      </c>
    </row>
    <row r="151" spans="1:10" x14ac:dyDescent="0.2">
      <c r="A151" s="139" t="s">
        <v>229</v>
      </c>
      <c r="B151" s="171">
        <v>25</v>
      </c>
      <c r="C151" s="171">
        <v>0</v>
      </c>
      <c r="D151" s="171">
        <v>0</v>
      </c>
      <c r="E151" s="171">
        <v>0</v>
      </c>
      <c r="F151" s="171">
        <v>0</v>
      </c>
      <c r="G151" s="171">
        <v>0</v>
      </c>
      <c r="H151" s="171">
        <v>0</v>
      </c>
      <c r="I151" s="171">
        <v>0</v>
      </c>
      <c r="J151" s="172">
        <v>0</v>
      </c>
    </row>
    <row r="152" spans="1:10" x14ac:dyDescent="0.2">
      <c r="A152" s="139" t="s">
        <v>100</v>
      </c>
      <c r="B152" s="191">
        <v>2</v>
      </c>
      <c r="C152" s="191">
        <v>0</v>
      </c>
      <c r="D152" s="191">
        <v>0</v>
      </c>
      <c r="E152" s="191">
        <v>0</v>
      </c>
      <c r="F152" s="191">
        <v>0</v>
      </c>
      <c r="G152" s="191">
        <v>0</v>
      </c>
      <c r="H152" s="191">
        <v>0</v>
      </c>
      <c r="I152" s="191">
        <v>0</v>
      </c>
      <c r="J152" s="192">
        <v>0</v>
      </c>
    </row>
    <row r="153" spans="1:10" x14ac:dyDescent="0.2">
      <c r="A153" s="139" t="s">
        <v>227</v>
      </c>
      <c r="B153" s="126">
        <f>ROUND(B151*B152,0)</f>
        <v>50</v>
      </c>
      <c r="C153" s="126">
        <v>0</v>
      </c>
      <c r="D153" s="126">
        <v>0</v>
      </c>
      <c r="E153" s="126">
        <v>0</v>
      </c>
      <c r="F153" s="126">
        <v>0</v>
      </c>
      <c r="G153" s="126">
        <v>0</v>
      </c>
      <c r="H153" s="126">
        <v>0</v>
      </c>
      <c r="I153" s="126">
        <v>0</v>
      </c>
      <c r="J153" s="82">
        <v>0</v>
      </c>
    </row>
    <row r="154" spans="1:10" x14ac:dyDescent="0.2">
      <c r="A154" s="139" t="s">
        <v>228</v>
      </c>
      <c r="B154" s="135">
        <f>ROUND(B7,0)</f>
        <v>365</v>
      </c>
      <c r="C154" s="135">
        <f t="shared" ref="C154:J154" si="28">ROUND(C7,0)</f>
        <v>730</v>
      </c>
      <c r="D154" s="135">
        <f t="shared" si="28"/>
        <v>1095</v>
      </c>
      <c r="E154" s="135">
        <f t="shared" si="28"/>
        <v>1460</v>
      </c>
      <c r="F154" s="135">
        <f t="shared" si="28"/>
        <v>1825</v>
      </c>
      <c r="G154" s="135">
        <f t="shared" si="28"/>
        <v>2190</v>
      </c>
      <c r="H154" s="135">
        <f t="shared" si="28"/>
        <v>2555</v>
      </c>
      <c r="I154" s="135">
        <f t="shared" si="28"/>
        <v>2920</v>
      </c>
      <c r="J154" s="136">
        <f t="shared" si="28"/>
        <v>3285</v>
      </c>
    </row>
    <row r="155" spans="1:10" x14ac:dyDescent="0.2">
      <c r="A155" s="193" t="s">
        <v>103</v>
      </c>
      <c r="B155" s="157">
        <f>ROUND(B154*B153,0)</f>
        <v>18250</v>
      </c>
      <c r="C155" s="157">
        <f t="shared" ref="C155:J155" si="29">ROUND(C154*C153,0)</f>
        <v>0</v>
      </c>
      <c r="D155" s="157">
        <f t="shared" si="29"/>
        <v>0</v>
      </c>
      <c r="E155" s="157">
        <f t="shared" si="29"/>
        <v>0</v>
      </c>
      <c r="F155" s="157">
        <f t="shared" si="29"/>
        <v>0</v>
      </c>
      <c r="G155" s="157">
        <f t="shared" si="29"/>
        <v>0</v>
      </c>
      <c r="H155" s="157">
        <f t="shared" si="29"/>
        <v>0</v>
      </c>
      <c r="I155" s="157">
        <f t="shared" si="29"/>
        <v>0</v>
      </c>
      <c r="J155" s="158">
        <f t="shared" si="29"/>
        <v>0</v>
      </c>
    </row>
    <row r="156" spans="1:10" x14ac:dyDescent="0.2">
      <c r="A156" s="67" t="s">
        <v>102</v>
      </c>
      <c r="B156" s="67"/>
      <c r="C156" s="67"/>
      <c r="D156" s="67"/>
      <c r="E156" s="67"/>
      <c r="F156" s="67"/>
      <c r="G156" s="67"/>
      <c r="H156" s="67"/>
      <c r="I156" s="67"/>
      <c r="J156" s="67"/>
    </row>
    <row r="157" spans="1:10" x14ac:dyDescent="0.2">
      <c r="A157" s="194" t="s">
        <v>105</v>
      </c>
      <c r="B157" s="195">
        <v>7.25</v>
      </c>
      <c r="C157" s="195">
        <v>7.25</v>
      </c>
      <c r="D157" s="195">
        <v>7.25</v>
      </c>
      <c r="E157" s="195">
        <v>7.25</v>
      </c>
      <c r="F157" s="195">
        <v>7.25</v>
      </c>
      <c r="G157" s="195">
        <v>7.25</v>
      </c>
      <c r="H157" s="195">
        <v>7.25</v>
      </c>
      <c r="I157" s="195">
        <v>7.25</v>
      </c>
      <c r="J157" s="196">
        <v>7.25</v>
      </c>
    </row>
    <row r="158" spans="1:10" x14ac:dyDescent="0.2">
      <c r="A158" s="139" t="s">
        <v>106</v>
      </c>
      <c r="B158" s="167">
        <v>7300</v>
      </c>
      <c r="C158" s="167">
        <v>7300</v>
      </c>
      <c r="D158" s="167">
        <v>7300</v>
      </c>
      <c r="E158" s="167">
        <v>7300</v>
      </c>
      <c r="F158" s="167">
        <v>7300</v>
      </c>
      <c r="G158" s="167">
        <v>7300</v>
      </c>
      <c r="H158" s="167">
        <v>7300</v>
      </c>
      <c r="I158" s="167">
        <v>7300</v>
      </c>
      <c r="J158" s="168">
        <v>7300</v>
      </c>
    </row>
    <row r="159" spans="1:10" x14ac:dyDescent="0.2">
      <c r="A159" s="139" t="s">
        <v>109</v>
      </c>
      <c r="B159" s="126">
        <f t="shared" ref="B159:J159" si="30">ROUND(B157*B158,0)</f>
        <v>52925</v>
      </c>
      <c r="C159" s="126">
        <f t="shared" si="30"/>
        <v>52925</v>
      </c>
      <c r="D159" s="126">
        <f t="shared" si="30"/>
        <v>52925</v>
      </c>
      <c r="E159" s="126">
        <f t="shared" si="30"/>
        <v>52925</v>
      </c>
      <c r="F159" s="126">
        <f t="shared" si="30"/>
        <v>52925</v>
      </c>
      <c r="G159" s="126">
        <f t="shared" si="30"/>
        <v>52925</v>
      </c>
      <c r="H159" s="126">
        <f t="shared" si="30"/>
        <v>52925</v>
      </c>
      <c r="I159" s="126">
        <f t="shared" si="30"/>
        <v>52925</v>
      </c>
      <c r="J159" s="82">
        <f t="shared" si="30"/>
        <v>52925</v>
      </c>
    </row>
    <row r="160" spans="1:10" s="124" customFormat="1" x14ac:dyDescent="0.2">
      <c r="A160" s="67" t="s">
        <v>131</v>
      </c>
      <c r="B160" s="67"/>
      <c r="C160" s="67"/>
      <c r="D160" s="67"/>
      <c r="E160" s="67"/>
      <c r="F160" s="67"/>
      <c r="G160" s="67"/>
      <c r="H160" s="67"/>
      <c r="I160" s="67"/>
      <c r="J160" s="67"/>
    </row>
    <row r="161" spans="1:10" x14ac:dyDescent="0.2">
      <c r="A161" s="139" t="s">
        <v>107</v>
      </c>
      <c r="B161" s="167">
        <v>146</v>
      </c>
      <c r="C161" s="167">
        <v>146</v>
      </c>
      <c r="D161" s="167">
        <v>146</v>
      </c>
      <c r="E161" s="167">
        <v>146</v>
      </c>
      <c r="F161" s="167">
        <v>146</v>
      </c>
      <c r="G161" s="167">
        <v>146</v>
      </c>
      <c r="H161" s="167">
        <v>146</v>
      </c>
      <c r="I161" s="167">
        <v>146</v>
      </c>
      <c r="J161" s="168">
        <v>146</v>
      </c>
    </row>
    <row r="162" spans="1:10" x14ac:dyDescent="0.2">
      <c r="A162" s="139" t="s">
        <v>613</v>
      </c>
      <c r="B162" s="126">
        <f t="shared" ref="B162:J162" si="31">ROUND((B157*1.5)*B161,0)</f>
        <v>1588</v>
      </c>
      <c r="C162" s="126">
        <f t="shared" si="31"/>
        <v>1588</v>
      </c>
      <c r="D162" s="126">
        <f t="shared" si="31"/>
        <v>1588</v>
      </c>
      <c r="E162" s="126">
        <f t="shared" si="31"/>
        <v>1588</v>
      </c>
      <c r="F162" s="126">
        <f t="shared" si="31"/>
        <v>1588</v>
      </c>
      <c r="G162" s="126">
        <f t="shared" si="31"/>
        <v>1588</v>
      </c>
      <c r="H162" s="126">
        <f t="shared" si="31"/>
        <v>1588</v>
      </c>
      <c r="I162" s="126">
        <f t="shared" si="31"/>
        <v>1588</v>
      </c>
      <c r="J162" s="82">
        <f t="shared" si="31"/>
        <v>1588</v>
      </c>
    </row>
    <row r="163" spans="1:10" x14ac:dyDescent="0.2">
      <c r="A163" s="139" t="s">
        <v>111</v>
      </c>
      <c r="B163" s="167">
        <v>0</v>
      </c>
      <c r="C163" s="167">
        <v>85</v>
      </c>
      <c r="D163" s="167">
        <v>85</v>
      </c>
      <c r="E163" s="167">
        <v>170</v>
      </c>
      <c r="F163" s="167">
        <v>170</v>
      </c>
      <c r="G163" s="167">
        <v>170</v>
      </c>
      <c r="H163" s="167">
        <v>204</v>
      </c>
      <c r="I163" s="167">
        <v>245</v>
      </c>
      <c r="J163" s="168">
        <v>340</v>
      </c>
    </row>
    <row r="164" spans="1:10" x14ac:dyDescent="0.2">
      <c r="A164" s="139" t="s">
        <v>112</v>
      </c>
      <c r="B164" s="126">
        <f t="shared" ref="B164:J164" si="32">ROUND(B157*1.5*B163,0)</f>
        <v>0</v>
      </c>
      <c r="C164" s="126">
        <f t="shared" si="32"/>
        <v>924</v>
      </c>
      <c r="D164" s="126">
        <f t="shared" si="32"/>
        <v>924</v>
      </c>
      <c r="E164" s="126">
        <f t="shared" si="32"/>
        <v>1849</v>
      </c>
      <c r="F164" s="126">
        <f t="shared" si="32"/>
        <v>1849</v>
      </c>
      <c r="G164" s="126">
        <f t="shared" si="32"/>
        <v>1849</v>
      </c>
      <c r="H164" s="126">
        <f t="shared" si="32"/>
        <v>2219</v>
      </c>
      <c r="I164" s="126">
        <f t="shared" si="32"/>
        <v>2664</v>
      </c>
      <c r="J164" s="82">
        <f t="shared" si="32"/>
        <v>3698</v>
      </c>
    </row>
    <row r="165" spans="1:10" s="455" customFormat="1" x14ac:dyDescent="0.2">
      <c r="A165" s="36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s="455" customFormat="1" x14ac:dyDescent="0.2">
      <c r="A166" s="502" t="s">
        <v>575</v>
      </c>
      <c r="B166" s="502"/>
      <c r="C166" s="502"/>
      <c r="D166" s="502"/>
      <c r="E166" s="502"/>
      <c r="F166" s="502"/>
      <c r="G166" s="502"/>
      <c r="H166" s="502"/>
      <c r="I166" s="502"/>
      <c r="J166" s="502"/>
    </row>
    <row r="167" spans="1:10" ht="36.75" customHeight="1" x14ac:dyDescent="0.2">
      <c r="A167" s="125" t="s">
        <v>110</v>
      </c>
      <c r="B167" s="484" t="s">
        <v>574</v>
      </c>
      <c r="C167" s="484" t="s">
        <v>574</v>
      </c>
      <c r="D167" s="484" t="s">
        <v>574</v>
      </c>
      <c r="E167" s="483" t="s">
        <v>572</v>
      </c>
      <c r="F167" s="483" t="s">
        <v>572</v>
      </c>
      <c r="G167" s="483" t="s">
        <v>572</v>
      </c>
      <c r="H167" s="483" t="s">
        <v>573</v>
      </c>
      <c r="I167" s="483" t="s">
        <v>573</v>
      </c>
      <c r="J167" s="483" t="s">
        <v>573</v>
      </c>
    </row>
    <row r="168" spans="1:10" s="124" customFormat="1" x14ac:dyDescent="0.2">
      <c r="A168" s="67" t="s">
        <v>101</v>
      </c>
      <c r="B168" s="67"/>
      <c r="C168" s="67"/>
      <c r="D168" s="67"/>
      <c r="E168" s="67"/>
      <c r="F168" s="67"/>
      <c r="G168" s="67"/>
      <c r="H168" s="67"/>
      <c r="I168" s="67"/>
      <c r="J168" s="67"/>
    </row>
    <row r="169" spans="1:10" x14ac:dyDescent="0.2">
      <c r="A169" s="139" t="s">
        <v>98</v>
      </c>
      <c r="B169" s="189">
        <v>0</v>
      </c>
      <c r="C169" s="189">
        <v>0</v>
      </c>
      <c r="D169" s="189">
        <v>0</v>
      </c>
      <c r="E169" s="189">
        <v>0</v>
      </c>
      <c r="F169" s="189">
        <v>0</v>
      </c>
      <c r="G169" s="189">
        <v>0</v>
      </c>
      <c r="H169" s="189">
        <v>0</v>
      </c>
      <c r="I169" s="189">
        <v>0</v>
      </c>
      <c r="J169" s="190">
        <v>0</v>
      </c>
    </row>
    <row r="170" spans="1:10" x14ac:dyDescent="0.2">
      <c r="A170" s="139" t="s">
        <v>99</v>
      </c>
      <c r="B170" s="167">
        <v>0</v>
      </c>
      <c r="C170" s="167">
        <v>0</v>
      </c>
      <c r="D170" s="167">
        <v>0</v>
      </c>
      <c r="E170" s="167">
        <v>0</v>
      </c>
      <c r="F170" s="167">
        <v>0</v>
      </c>
      <c r="G170" s="167">
        <v>0</v>
      </c>
      <c r="H170" s="167">
        <v>0</v>
      </c>
      <c r="I170" s="167">
        <v>0</v>
      </c>
      <c r="J170" s="168">
        <v>0</v>
      </c>
    </row>
    <row r="171" spans="1:10" x14ac:dyDescent="0.2">
      <c r="A171" s="139" t="s">
        <v>104</v>
      </c>
      <c r="B171" s="126">
        <f>ROUND(B169*B170,0)</f>
        <v>0</v>
      </c>
      <c r="C171" s="126">
        <f t="shared" ref="C171:J171" si="33">ROUND(C169*C170,0)</f>
        <v>0</v>
      </c>
      <c r="D171" s="126">
        <f t="shared" si="33"/>
        <v>0</v>
      </c>
      <c r="E171" s="126">
        <f t="shared" si="33"/>
        <v>0</v>
      </c>
      <c r="F171" s="126">
        <f t="shared" si="33"/>
        <v>0</v>
      </c>
      <c r="G171" s="126">
        <f t="shared" si="33"/>
        <v>0</v>
      </c>
      <c r="H171" s="126">
        <f t="shared" si="33"/>
        <v>0</v>
      </c>
      <c r="I171" s="126">
        <f t="shared" si="33"/>
        <v>0</v>
      </c>
      <c r="J171" s="82">
        <f t="shared" si="33"/>
        <v>0</v>
      </c>
    </row>
    <row r="172" spans="1:10" x14ac:dyDescent="0.2">
      <c r="A172" s="139" t="s">
        <v>229</v>
      </c>
      <c r="B172" s="171">
        <v>25</v>
      </c>
      <c r="C172" s="171">
        <v>0</v>
      </c>
      <c r="D172" s="171">
        <v>0</v>
      </c>
      <c r="E172" s="171">
        <v>0</v>
      </c>
      <c r="F172" s="171">
        <v>0</v>
      </c>
      <c r="G172" s="171">
        <v>0</v>
      </c>
      <c r="H172" s="171">
        <v>0</v>
      </c>
      <c r="I172" s="171">
        <v>0</v>
      </c>
      <c r="J172" s="172">
        <v>0</v>
      </c>
    </row>
    <row r="173" spans="1:10" x14ac:dyDescent="0.2">
      <c r="A173" s="139" t="s">
        <v>100</v>
      </c>
      <c r="B173" s="191">
        <v>2</v>
      </c>
      <c r="C173" s="191">
        <v>0</v>
      </c>
      <c r="D173" s="191">
        <v>0</v>
      </c>
      <c r="E173" s="191">
        <v>0</v>
      </c>
      <c r="F173" s="191">
        <v>0</v>
      </c>
      <c r="G173" s="191">
        <v>0</v>
      </c>
      <c r="H173" s="191">
        <v>0</v>
      </c>
      <c r="I173" s="191">
        <v>0</v>
      </c>
      <c r="J173" s="192">
        <v>0</v>
      </c>
    </row>
    <row r="174" spans="1:10" x14ac:dyDescent="0.2">
      <c r="A174" s="139" t="s">
        <v>227</v>
      </c>
      <c r="B174" s="126">
        <f>ROUND(B172*B173,0)</f>
        <v>50</v>
      </c>
      <c r="C174" s="126">
        <f t="shared" ref="C174:J174" si="34">ROUND(C172*C173,0)</f>
        <v>0</v>
      </c>
      <c r="D174" s="126">
        <f t="shared" si="34"/>
        <v>0</v>
      </c>
      <c r="E174" s="126">
        <f t="shared" si="34"/>
        <v>0</v>
      </c>
      <c r="F174" s="126">
        <f t="shared" si="34"/>
        <v>0</v>
      </c>
      <c r="G174" s="126">
        <f t="shared" si="34"/>
        <v>0</v>
      </c>
      <c r="H174" s="126">
        <f t="shared" si="34"/>
        <v>0</v>
      </c>
      <c r="I174" s="126">
        <f t="shared" si="34"/>
        <v>0</v>
      </c>
      <c r="J174" s="82">
        <f t="shared" si="34"/>
        <v>0</v>
      </c>
    </row>
    <row r="175" spans="1:10" x14ac:dyDescent="0.2">
      <c r="A175" s="139" t="s">
        <v>228</v>
      </c>
      <c r="B175" s="135">
        <f>ROUND(B7,0)</f>
        <v>365</v>
      </c>
      <c r="C175" s="135">
        <f t="shared" ref="C175:J175" si="35">ROUND(C7,0)</f>
        <v>730</v>
      </c>
      <c r="D175" s="135">
        <f t="shared" si="35"/>
        <v>1095</v>
      </c>
      <c r="E175" s="135">
        <f t="shared" si="35"/>
        <v>1460</v>
      </c>
      <c r="F175" s="135">
        <f t="shared" si="35"/>
        <v>1825</v>
      </c>
      <c r="G175" s="135">
        <f t="shared" si="35"/>
        <v>2190</v>
      </c>
      <c r="H175" s="135">
        <f t="shared" si="35"/>
        <v>2555</v>
      </c>
      <c r="I175" s="135">
        <f t="shared" si="35"/>
        <v>2920</v>
      </c>
      <c r="J175" s="136">
        <f t="shared" si="35"/>
        <v>3285</v>
      </c>
    </row>
    <row r="176" spans="1:10" x14ac:dyDescent="0.2">
      <c r="A176" s="139" t="s">
        <v>103</v>
      </c>
      <c r="B176" s="126">
        <f>ROUND(B174*B175,0)</f>
        <v>18250</v>
      </c>
      <c r="C176" s="126">
        <f t="shared" ref="C176:J176" si="36">ROUND(C174*C175,0)</f>
        <v>0</v>
      </c>
      <c r="D176" s="126">
        <f t="shared" si="36"/>
        <v>0</v>
      </c>
      <c r="E176" s="126">
        <f t="shared" si="36"/>
        <v>0</v>
      </c>
      <c r="F176" s="126">
        <f t="shared" si="36"/>
        <v>0</v>
      </c>
      <c r="G176" s="126">
        <f t="shared" si="36"/>
        <v>0</v>
      </c>
      <c r="H176" s="126">
        <f t="shared" si="36"/>
        <v>0</v>
      </c>
      <c r="I176" s="126">
        <f t="shared" si="36"/>
        <v>0</v>
      </c>
      <c r="J176" s="82">
        <f t="shared" si="36"/>
        <v>0</v>
      </c>
    </row>
    <row r="177" spans="1:10" x14ac:dyDescent="0.2">
      <c r="A177" s="67" t="s">
        <v>102</v>
      </c>
      <c r="B177" s="67"/>
      <c r="C177" s="67"/>
      <c r="D177" s="67"/>
      <c r="E177" s="67"/>
      <c r="F177" s="67"/>
      <c r="G177" s="67"/>
      <c r="H177" s="67"/>
      <c r="I177" s="67"/>
      <c r="J177" s="67"/>
    </row>
    <row r="178" spans="1:10" x14ac:dyDescent="0.2">
      <c r="A178" s="139" t="s">
        <v>105</v>
      </c>
      <c r="B178" s="189">
        <v>7.25</v>
      </c>
      <c r="C178" s="189">
        <v>7.25</v>
      </c>
      <c r="D178" s="189">
        <v>7.25</v>
      </c>
      <c r="E178" s="189">
        <v>7.25</v>
      </c>
      <c r="F178" s="189">
        <v>7.25</v>
      </c>
      <c r="G178" s="189">
        <v>7.25</v>
      </c>
      <c r="H178" s="189">
        <v>7.25</v>
      </c>
      <c r="I178" s="189">
        <v>7.5</v>
      </c>
      <c r="J178" s="190">
        <v>7.5</v>
      </c>
    </row>
    <row r="179" spans="1:10" x14ac:dyDescent="0.2">
      <c r="A179" s="139" t="s">
        <v>106</v>
      </c>
      <c r="B179" s="167">
        <v>7300</v>
      </c>
      <c r="C179" s="167">
        <v>7300</v>
      </c>
      <c r="D179" s="167">
        <v>7300</v>
      </c>
      <c r="E179" s="167">
        <v>7300</v>
      </c>
      <c r="F179" s="167">
        <v>7300</v>
      </c>
      <c r="G179" s="167">
        <v>7300</v>
      </c>
      <c r="H179" s="167">
        <v>7300</v>
      </c>
      <c r="I179" s="167">
        <v>7300</v>
      </c>
      <c r="J179" s="168">
        <v>7300</v>
      </c>
    </row>
    <row r="180" spans="1:10" x14ac:dyDescent="0.2">
      <c r="A180" s="139" t="s">
        <v>109</v>
      </c>
      <c r="B180" s="126">
        <f t="shared" ref="B180:J180" si="37">ROUND(B178*B179,0)</f>
        <v>52925</v>
      </c>
      <c r="C180" s="126">
        <f t="shared" si="37"/>
        <v>52925</v>
      </c>
      <c r="D180" s="126">
        <f t="shared" si="37"/>
        <v>52925</v>
      </c>
      <c r="E180" s="126">
        <f t="shared" si="37"/>
        <v>52925</v>
      </c>
      <c r="F180" s="126">
        <f t="shared" si="37"/>
        <v>52925</v>
      </c>
      <c r="G180" s="126">
        <f t="shared" si="37"/>
        <v>52925</v>
      </c>
      <c r="H180" s="126">
        <f t="shared" si="37"/>
        <v>52925</v>
      </c>
      <c r="I180" s="126">
        <f t="shared" si="37"/>
        <v>54750</v>
      </c>
      <c r="J180" s="82">
        <f t="shared" si="37"/>
        <v>54750</v>
      </c>
    </row>
    <row r="181" spans="1:10" s="124" customFormat="1" x14ac:dyDescent="0.2">
      <c r="A181" s="67" t="s">
        <v>131</v>
      </c>
      <c r="B181" s="67"/>
      <c r="C181" s="67"/>
      <c r="D181" s="67"/>
      <c r="E181" s="67"/>
      <c r="F181" s="67"/>
      <c r="G181" s="67"/>
      <c r="H181" s="67"/>
      <c r="I181" s="67"/>
      <c r="J181" s="67"/>
    </row>
    <row r="182" spans="1:10" x14ac:dyDescent="0.2">
      <c r="A182" s="139" t="s">
        <v>107</v>
      </c>
      <c r="B182" s="167">
        <v>146</v>
      </c>
      <c r="C182" s="167">
        <v>146</v>
      </c>
      <c r="D182" s="167">
        <v>146</v>
      </c>
      <c r="E182" s="167">
        <v>146</v>
      </c>
      <c r="F182" s="167">
        <v>146</v>
      </c>
      <c r="G182" s="167">
        <v>146</v>
      </c>
      <c r="H182" s="167">
        <v>146</v>
      </c>
      <c r="I182" s="167">
        <v>146</v>
      </c>
      <c r="J182" s="168">
        <v>146</v>
      </c>
    </row>
    <row r="183" spans="1:10" x14ac:dyDescent="0.2">
      <c r="A183" s="139" t="s">
        <v>613</v>
      </c>
      <c r="B183" s="126">
        <f t="shared" ref="B183:J183" si="38">ROUND((B178*1.5)*B182,0)</f>
        <v>1588</v>
      </c>
      <c r="C183" s="126">
        <f t="shared" si="38"/>
        <v>1588</v>
      </c>
      <c r="D183" s="126">
        <f t="shared" si="38"/>
        <v>1588</v>
      </c>
      <c r="E183" s="126">
        <f t="shared" si="38"/>
        <v>1588</v>
      </c>
      <c r="F183" s="126">
        <f t="shared" si="38"/>
        <v>1588</v>
      </c>
      <c r="G183" s="126">
        <f t="shared" si="38"/>
        <v>1588</v>
      </c>
      <c r="H183" s="126">
        <f t="shared" si="38"/>
        <v>1588</v>
      </c>
      <c r="I183" s="126">
        <f t="shared" si="38"/>
        <v>1643</v>
      </c>
      <c r="J183" s="82">
        <f t="shared" si="38"/>
        <v>1643</v>
      </c>
    </row>
    <row r="184" spans="1:10" x14ac:dyDescent="0.2">
      <c r="A184" s="139" t="s">
        <v>111</v>
      </c>
      <c r="B184" s="167">
        <v>0</v>
      </c>
      <c r="C184" s="167">
        <v>85</v>
      </c>
      <c r="D184" s="167">
        <v>85</v>
      </c>
      <c r="E184" s="167">
        <v>170</v>
      </c>
      <c r="F184" s="167">
        <v>170</v>
      </c>
      <c r="G184" s="167">
        <v>170</v>
      </c>
      <c r="H184" s="167">
        <v>204</v>
      </c>
      <c r="I184" s="167">
        <v>245</v>
      </c>
      <c r="J184" s="168">
        <v>340</v>
      </c>
    </row>
    <row r="185" spans="1:10" x14ac:dyDescent="0.2">
      <c r="A185" s="139" t="s">
        <v>112</v>
      </c>
      <c r="B185" s="126">
        <f t="shared" ref="B185:J185" si="39">ROUND(B178*1.5*B184,0)</f>
        <v>0</v>
      </c>
      <c r="C185" s="126">
        <f t="shared" si="39"/>
        <v>924</v>
      </c>
      <c r="D185" s="126">
        <f t="shared" si="39"/>
        <v>924</v>
      </c>
      <c r="E185" s="126">
        <f t="shared" si="39"/>
        <v>1849</v>
      </c>
      <c r="F185" s="126">
        <f t="shared" si="39"/>
        <v>1849</v>
      </c>
      <c r="G185" s="126">
        <f t="shared" si="39"/>
        <v>1849</v>
      </c>
      <c r="H185" s="126">
        <f t="shared" si="39"/>
        <v>2219</v>
      </c>
      <c r="I185" s="126">
        <f t="shared" si="39"/>
        <v>2756</v>
      </c>
      <c r="J185" s="82">
        <f t="shared" si="39"/>
        <v>3825</v>
      </c>
    </row>
    <row r="186" spans="1:10" s="124" customFormat="1" x14ac:dyDescent="0.2">
      <c r="A186" s="36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s="124" customFormat="1" x14ac:dyDescent="0.2">
      <c r="A187" s="502" t="s">
        <v>576</v>
      </c>
      <c r="B187" s="502"/>
      <c r="C187" s="502"/>
      <c r="D187" s="502"/>
      <c r="E187" s="502"/>
      <c r="F187" s="502"/>
      <c r="G187" s="502"/>
      <c r="H187" s="502"/>
      <c r="I187" s="502"/>
      <c r="J187" s="502"/>
    </row>
    <row r="188" spans="1:10" x14ac:dyDescent="0.2">
      <c r="A188" s="197" t="s">
        <v>121</v>
      </c>
      <c r="B188" s="42"/>
      <c r="C188" s="42"/>
      <c r="D188" s="42"/>
      <c r="E188" s="42"/>
      <c r="F188" s="42"/>
      <c r="G188" s="42"/>
      <c r="H188" s="42"/>
      <c r="I188" s="42"/>
      <c r="J188" s="42"/>
    </row>
    <row r="189" spans="1:10" ht="13.5" x14ac:dyDescent="0.25">
      <c r="A189" s="535" t="s">
        <v>397</v>
      </c>
      <c r="B189" s="535"/>
      <c r="C189" s="535"/>
      <c r="D189" s="535"/>
      <c r="E189" s="535"/>
      <c r="F189" s="535"/>
      <c r="G189" s="535"/>
      <c r="H189" s="535"/>
      <c r="I189" s="535"/>
      <c r="J189" s="535"/>
    </row>
    <row r="190" spans="1:10" ht="13.5" x14ac:dyDescent="0.25">
      <c r="A190" s="503" t="s">
        <v>504</v>
      </c>
      <c r="B190" s="503"/>
      <c r="C190" s="503"/>
      <c r="D190" s="503"/>
      <c r="E190" s="503"/>
      <c r="F190" s="503"/>
      <c r="G190" s="503"/>
      <c r="H190" s="503"/>
      <c r="I190" s="503"/>
      <c r="J190" s="503"/>
    </row>
    <row r="191" spans="1:10" ht="38.25" x14ac:dyDescent="0.2">
      <c r="A191" s="125" t="s">
        <v>96</v>
      </c>
      <c r="B191" s="484" t="s">
        <v>571</v>
      </c>
      <c r="C191" s="484" t="s">
        <v>97</v>
      </c>
      <c r="D191" s="484" t="s">
        <v>97</v>
      </c>
      <c r="E191" s="484" t="s">
        <v>572</v>
      </c>
      <c r="F191" s="484" t="s">
        <v>572</v>
      </c>
      <c r="G191" s="484" t="s">
        <v>572</v>
      </c>
      <c r="H191" s="484" t="s">
        <v>573</v>
      </c>
      <c r="I191" s="484" t="s">
        <v>573</v>
      </c>
      <c r="J191" s="484" t="s">
        <v>573</v>
      </c>
    </row>
    <row r="192" spans="1:10" x14ac:dyDescent="0.2">
      <c r="A192" s="27" t="s">
        <v>101</v>
      </c>
    </row>
    <row r="193" spans="1:10" x14ac:dyDescent="0.2">
      <c r="A193" s="139" t="s">
        <v>98</v>
      </c>
      <c r="B193" s="189">
        <v>0</v>
      </c>
      <c r="C193" s="189">
        <v>0</v>
      </c>
      <c r="D193" s="189">
        <v>0</v>
      </c>
      <c r="E193" s="189">
        <v>0</v>
      </c>
      <c r="F193" s="189">
        <v>0</v>
      </c>
      <c r="G193" s="189">
        <v>0</v>
      </c>
      <c r="H193" s="189">
        <v>0</v>
      </c>
      <c r="I193" s="189">
        <v>0</v>
      </c>
      <c r="J193" s="190">
        <v>0</v>
      </c>
    </row>
    <row r="194" spans="1:10" x14ac:dyDescent="0.2">
      <c r="A194" s="139" t="s">
        <v>99</v>
      </c>
      <c r="B194" s="167">
        <v>0</v>
      </c>
      <c r="C194" s="167">
        <v>0</v>
      </c>
      <c r="D194" s="167">
        <v>0</v>
      </c>
      <c r="E194" s="167">
        <v>0</v>
      </c>
      <c r="F194" s="167">
        <v>0</v>
      </c>
      <c r="G194" s="167">
        <v>0</v>
      </c>
      <c r="H194" s="167">
        <v>0</v>
      </c>
      <c r="I194" s="167">
        <v>0</v>
      </c>
      <c r="J194" s="168">
        <v>0</v>
      </c>
    </row>
    <row r="195" spans="1:10" x14ac:dyDescent="0.2">
      <c r="A195" s="139" t="s">
        <v>104</v>
      </c>
      <c r="B195" s="126">
        <f>ROUND(B193*B194,0)</f>
        <v>0</v>
      </c>
      <c r="C195" s="126">
        <f t="shared" ref="C195:J195" si="40">ROUND(C193*C194,0)</f>
        <v>0</v>
      </c>
      <c r="D195" s="126">
        <f t="shared" si="40"/>
        <v>0</v>
      </c>
      <c r="E195" s="126">
        <f t="shared" si="40"/>
        <v>0</v>
      </c>
      <c r="F195" s="126">
        <f t="shared" si="40"/>
        <v>0</v>
      </c>
      <c r="G195" s="126">
        <f t="shared" si="40"/>
        <v>0</v>
      </c>
      <c r="H195" s="126">
        <f t="shared" si="40"/>
        <v>0</v>
      </c>
      <c r="I195" s="126">
        <f t="shared" si="40"/>
        <v>0</v>
      </c>
      <c r="J195" s="82">
        <f t="shared" si="40"/>
        <v>0</v>
      </c>
    </row>
    <row r="196" spans="1:10" x14ac:dyDescent="0.2">
      <c r="A196" s="139" t="s">
        <v>229</v>
      </c>
      <c r="B196" s="171">
        <v>0</v>
      </c>
      <c r="C196" s="171">
        <v>0</v>
      </c>
      <c r="D196" s="171">
        <v>0</v>
      </c>
      <c r="E196" s="171">
        <v>0</v>
      </c>
      <c r="F196" s="171">
        <v>0</v>
      </c>
      <c r="G196" s="171">
        <v>0</v>
      </c>
      <c r="H196" s="171">
        <v>0</v>
      </c>
      <c r="I196" s="171">
        <v>0</v>
      </c>
      <c r="J196" s="172">
        <v>0</v>
      </c>
    </row>
    <row r="197" spans="1:10" x14ac:dyDescent="0.2">
      <c r="A197" s="139" t="s">
        <v>100</v>
      </c>
      <c r="B197" s="191">
        <v>0</v>
      </c>
      <c r="C197" s="191">
        <v>0</v>
      </c>
      <c r="D197" s="191">
        <v>0</v>
      </c>
      <c r="E197" s="191">
        <v>0</v>
      </c>
      <c r="F197" s="191">
        <v>0</v>
      </c>
      <c r="G197" s="191">
        <v>0</v>
      </c>
      <c r="H197" s="191">
        <v>0</v>
      </c>
      <c r="I197" s="191">
        <v>0</v>
      </c>
      <c r="J197" s="192">
        <v>0</v>
      </c>
    </row>
    <row r="198" spans="1:10" x14ac:dyDescent="0.2">
      <c r="A198" s="139" t="s">
        <v>227</v>
      </c>
      <c r="B198" s="126">
        <f>ROUND(B196*B197,0)</f>
        <v>0</v>
      </c>
      <c r="C198" s="126">
        <f t="shared" ref="C198:J198" si="41">ROUND(C196*C197,0)</f>
        <v>0</v>
      </c>
      <c r="D198" s="126">
        <f t="shared" si="41"/>
        <v>0</v>
      </c>
      <c r="E198" s="126">
        <f t="shared" si="41"/>
        <v>0</v>
      </c>
      <c r="F198" s="126">
        <f t="shared" si="41"/>
        <v>0</v>
      </c>
      <c r="G198" s="126">
        <f t="shared" si="41"/>
        <v>0</v>
      </c>
      <c r="H198" s="126">
        <f t="shared" si="41"/>
        <v>0</v>
      </c>
      <c r="I198" s="126">
        <f t="shared" si="41"/>
        <v>0</v>
      </c>
      <c r="J198" s="82">
        <f t="shared" si="41"/>
        <v>0</v>
      </c>
    </row>
    <row r="199" spans="1:10" x14ac:dyDescent="0.2">
      <c r="A199" s="139" t="s">
        <v>228</v>
      </c>
      <c r="B199" s="135">
        <f>ROUND(B7,0)</f>
        <v>365</v>
      </c>
      <c r="C199" s="135">
        <f t="shared" ref="C199:J199" si="42">ROUND(C7,0)</f>
        <v>730</v>
      </c>
      <c r="D199" s="135">
        <f t="shared" si="42"/>
        <v>1095</v>
      </c>
      <c r="E199" s="135">
        <f t="shared" si="42"/>
        <v>1460</v>
      </c>
      <c r="F199" s="135">
        <f t="shared" si="42"/>
        <v>1825</v>
      </c>
      <c r="G199" s="135">
        <f t="shared" si="42"/>
        <v>2190</v>
      </c>
      <c r="H199" s="135">
        <f t="shared" si="42"/>
        <v>2555</v>
      </c>
      <c r="I199" s="135">
        <f t="shared" si="42"/>
        <v>2920</v>
      </c>
      <c r="J199" s="136">
        <f t="shared" si="42"/>
        <v>3285</v>
      </c>
    </row>
    <row r="200" spans="1:10" x14ac:dyDescent="0.2">
      <c r="A200" s="139" t="s">
        <v>103</v>
      </c>
      <c r="B200" s="126">
        <f>ROUND(B198*B199,0)</f>
        <v>0</v>
      </c>
      <c r="C200" s="126">
        <f t="shared" ref="C200:J200" si="43">ROUND(C198*C199,0)</f>
        <v>0</v>
      </c>
      <c r="D200" s="126">
        <f t="shared" si="43"/>
        <v>0</v>
      </c>
      <c r="E200" s="126">
        <f t="shared" si="43"/>
        <v>0</v>
      </c>
      <c r="F200" s="126">
        <f t="shared" si="43"/>
        <v>0</v>
      </c>
      <c r="G200" s="126">
        <f t="shared" si="43"/>
        <v>0</v>
      </c>
      <c r="H200" s="126">
        <f t="shared" si="43"/>
        <v>0</v>
      </c>
      <c r="I200" s="126">
        <f t="shared" si="43"/>
        <v>0</v>
      </c>
      <c r="J200" s="82">
        <f t="shared" si="43"/>
        <v>0</v>
      </c>
    </row>
    <row r="201" spans="1:10" x14ac:dyDescent="0.2">
      <c r="A201" s="67" t="s">
        <v>102</v>
      </c>
      <c r="B201" s="67"/>
      <c r="C201" s="67"/>
      <c r="D201" s="67"/>
      <c r="E201" s="67"/>
      <c r="F201" s="67"/>
      <c r="G201" s="67"/>
      <c r="H201" s="67"/>
      <c r="I201" s="67"/>
      <c r="J201" s="67"/>
    </row>
    <row r="202" spans="1:10" x14ac:dyDescent="0.2">
      <c r="A202" s="139" t="s">
        <v>105</v>
      </c>
      <c r="B202" s="189">
        <v>7.25</v>
      </c>
      <c r="C202" s="189">
        <v>7.25</v>
      </c>
      <c r="D202" s="189">
        <v>7.25</v>
      </c>
      <c r="E202" s="189">
        <v>7.5</v>
      </c>
      <c r="F202" s="189">
        <v>7.5</v>
      </c>
      <c r="G202" s="189">
        <v>7.5</v>
      </c>
      <c r="H202" s="189">
        <v>7.5</v>
      </c>
      <c r="I202" s="189">
        <v>7.5</v>
      </c>
      <c r="J202" s="190">
        <v>7.5</v>
      </c>
    </row>
    <row r="203" spans="1:10" x14ac:dyDescent="0.2">
      <c r="A203" s="139" t="s">
        <v>106</v>
      </c>
      <c r="B203" s="167">
        <v>0</v>
      </c>
      <c r="C203" s="167">
        <v>0</v>
      </c>
      <c r="D203" s="167">
        <v>0</v>
      </c>
      <c r="E203" s="167">
        <f>ROUND(40*52,0)</f>
        <v>2080</v>
      </c>
      <c r="F203" s="167">
        <f>ROUND(40*52,0)</f>
        <v>2080</v>
      </c>
      <c r="G203" s="167">
        <f>ROUND(40*52,0)</f>
        <v>2080</v>
      </c>
      <c r="H203" s="167">
        <v>7300</v>
      </c>
      <c r="I203" s="167">
        <v>7300</v>
      </c>
      <c r="J203" s="168">
        <v>7300</v>
      </c>
    </row>
    <row r="204" spans="1:10" x14ac:dyDescent="0.2">
      <c r="A204" s="139" t="s">
        <v>109</v>
      </c>
      <c r="B204" s="126">
        <f t="shared" ref="B204:J204" si="44">ROUND(B202*B203,0)</f>
        <v>0</v>
      </c>
      <c r="C204" s="126">
        <f t="shared" si="44"/>
        <v>0</v>
      </c>
      <c r="D204" s="126">
        <f t="shared" si="44"/>
        <v>0</v>
      </c>
      <c r="E204" s="126">
        <f t="shared" si="44"/>
        <v>15600</v>
      </c>
      <c r="F204" s="126">
        <f t="shared" si="44"/>
        <v>15600</v>
      </c>
      <c r="G204" s="126">
        <f t="shared" si="44"/>
        <v>15600</v>
      </c>
      <c r="H204" s="126">
        <f t="shared" si="44"/>
        <v>54750</v>
      </c>
      <c r="I204" s="126">
        <f t="shared" si="44"/>
        <v>54750</v>
      </c>
      <c r="J204" s="82">
        <f t="shared" si="44"/>
        <v>54750</v>
      </c>
    </row>
    <row r="205" spans="1:10" x14ac:dyDescent="0.2">
      <c r="A205" s="45" t="s">
        <v>131</v>
      </c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 x14ac:dyDescent="0.2">
      <c r="A206" s="139" t="s">
        <v>107</v>
      </c>
      <c r="B206" s="167">
        <v>0</v>
      </c>
      <c r="C206" s="167">
        <v>0</v>
      </c>
      <c r="D206" s="167">
        <v>0</v>
      </c>
      <c r="E206" s="167">
        <v>146</v>
      </c>
      <c r="F206" s="167">
        <v>146</v>
      </c>
      <c r="G206" s="167">
        <v>146</v>
      </c>
      <c r="H206" s="167">
        <v>146</v>
      </c>
      <c r="I206" s="167">
        <v>146</v>
      </c>
      <c r="J206" s="168">
        <v>146</v>
      </c>
    </row>
    <row r="207" spans="1:10" x14ac:dyDescent="0.2">
      <c r="A207" s="139" t="s">
        <v>613</v>
      </c>
      <c r="B207" s="126">
        <f t="shared" ref="B207:J207" si="45">ROUND((B202*1.5)*B206,0)</f>
        <v>0</v>
      </c>
      <c r="C207" s="126">
        <f t="shared" si="45"/>
        <v>0</v>
      </c>
      <c r="D207" s="126">
        <f t="shared" si="45"/>
        <v>0</v>
      </c>
      <c r="E207" s="126">
        <f t="shared" si="45"/>
        <v>1643</v>
      </c>
      <c r="F207" s="126">
        <f t="shared" si="45"/>
        <v>1643</v>
      </c>
      <c r="G207" s="126">
        <f t="shared" si="45"/>
        <v>1643</v>
      </c>
      <c r="H207" s="126">
        <f t="shared" si="45"/>
        <v>1643</v>
      </c>
      <c r="I207" s="126">
        <f t="shared" si="45"/>
        <v>1643</v>
      </c>
      <c r="J207" s="82">
        <f t="shared" si="45"/>
        <v>1643</v>
      </c>
    </row>
    <row r="208" spans="1:10" x14ac:dyDescent="0.2">
      <c r="A208" s="139" t="s">
        <v>111</v>
      </c>
      <c r="B208" s="167">
        <v>0</v>
      </c>
      <c r="C208" s="167">
        <v>0</v>
      </c>
      <c r="D208" s="167">
        <v>0</v>
      </c>
      <c r="E208" s="167">
        <v>170</v>
      </c>
      <c r="F208" s="167">
        <v>170</v>
      </c>
      <c r="G208" s="167">
        <v>170</v>
      </c>
      <c r="H208" s="167">
        <v>204</v>
      </c>
      <c r="I208" s="167">
        <v>245</v>
      </c>
      <c r="J208" s="168">
        <v>340</v>
      </c>
    </row>
    <row r="209" spans="1:11" x14ac:dyDescent="0.2">
      <c r="A209" s="139" t="s">
        <v>112</v>
      </c>
      <c r="B209" s="126">
        <f t="shared" ref="B209:J209" si="46">ROUND(B202*1.5*B208,0)</f>
        <v>0</v>
      </c>
      <c r="C209" s="126">
        <f t="shared" si="46"/>
        <v>0</v>
      </c>
      <c r="D209" s="126">
        <f t="shared" si="46"/>
        <v>0</v>
      </c>
      <c r="E209" s="126">
        <f t="shared" si="46"/>
        <v>1913</v>
      </c>
      <c r="F209" s="126">
        <f t="shared" si="46"/>
        <v>1913</v>
      </c>
      <c r="G209" s="126">
        <f t="shared" si="46"/>
        <v>1913</v>
      </c>
      <c r="H209" s="126">
        <f t="shared" si="46"/>
        <v>2295</v>
      </c>
      <c r="I209" s="126">
        <f t="shared" si="46"/>
        <v>2756</v>
      </c>
      <c r="J209" s="82">
        <f t="shared" si="46"/>
        <v>3825</v>
      </c>
    </row>
    <row r="210" spans="1:11" s="124" customFormat="1" x14ac:dyDescent="0.2">
      <c r="A210" s="36"/>
      <c r="B210" s="34"/>
      <c r="C210" s="34"/>
      <c r="D210" s="34"/>
      <c r="E210" s="34"/>
      <c r="F210" s="34"/>
      <c r="G210" s="34"/>
      <c r="H210" s="34"/>
      <c r="I210" s="34"/>
      <c r="J210" s="34"/>
    </row>
    <row r="211" spans="1:11" s="124" customFormat="1" x14ac:dyDescent="0.2">
      <c r="A211" s="502" t="s">
        <v>577</v>
      </c>
      <c r="B211" s="502"/>
      <c r="C211" s="502"/>
      <c r="D211" s="502"/>
      <c r="E211" s="502"/>
      <c r="F211" s="502"/>
      <c r="G211" s="502"/>
      <c r="H211" s="502"/>
      <c r="I211" s="502"/>
      <c r="J211" s="502"/>
    </row>
    <row r="212" spans="1:11" ht="39.75" customHeight="1" x14ac:dyDescent="0.2">
      <c r="A212" s="125" t="s">
        <v>110</v>
      </c>
      <c r="B212" s="484" t="s">
        <v>574</v>
      </c>
      <c r="C212" s="484" t="s">
        <v>574</v>
      </c>
      <c r="D212" s="484" t="s">
        <v>574</v>
      </c>
      <c r="E212" s="484" t="s">
        <v>572</v>
      </c>
      <c r="F212" s="484" t="s">
        <v>572</v>
      </c>
      <c r="G212" s="484" t="s">
        <v>572</v>
      </c>
      <c r="H212" s="484" t="s">
        <v>573</v>
      </c>
      <c r="I212" s="484" t="s">
        <v>573</v>
      </c>
      <c r="J212" s="484" t="s">
        <v>573</v>
      </c>
    </row>
    <row r="213" spans="1:11" ht="13.9" customHeight="1" x14ac:dyDescent="0.2">
      <c r="A213" s="27" t="s">
        <v>101</v>
      </c>
    </row>
    <row r="214" spans="1:11" x14ac:dyDescent="0.2">
      <c r="A214" s="139" t="s">
        <v>98</v>
      </c>
      <c r="B214" s="189">
        <v>0</v>
      </c>
      <c r="C214" s="189">
        <v>0</v>
      </c>
      <c r="D214" s="189">
        <v>0</v>
      </c>
      <c r="E214" s="189">
        <v>0</v>
      </c>
      <c r="F214" s="189">
        <v>0</v>
      </c>
      <c r="G214" s="189">
        <v>0</v>
      </c>
      <c r="H214" s="189">
        <v>0</v>
      </c>
      <c r="I214" s="189">
        <v>0</v>
      </c>
      <c r="J214" s="190">
        <v>0</v>
      </c>
    </row>
    <row r="215" spans="1:11" x14ac:dyDescent="0.2">
      <c r="A215" s="139" t="s">
        <v>99</v>
      </c>
      <c r="B215" s="167">
        <v>0</v>
      </c>
      <c r="C215" s="167">
        <v>0</v>
      </c>
      <c r="D215" s="167">
        <v>0</v>
      </c>
      <c r="E215" s="167">
        <v>0</v>
      </c>
      <c r="F215" s="167">
        <v>0</v>
      </c>
      <c r="G215" s="167">
        <v>0</v>
      </c>
      <c r="H215" s="167">
        <v>0</v>
      </c>
      <c r="I215" s="167">
        <v>0</v>
      </c>
      <c r="J215" s="168">
        <v>0</v>
      </c>
    </row>
    <row r="216" spans="1:11" x14ac:dyDescent="0.2">
      <c r="A216" s="139" t="s">
        <v>104</v>
      </c>
      <c r="B216" s="126">
        <f>ROUND(B214*B215,0)</f>
        <v>0</v>
      </c>
      <c r="C216" s="126">
        <f t="shared" ref="C216:J216" si="47">ROUND(C214*C215,0)</f>
        <v>0</v>
      </c>
      <c r="D216" s="126">
        <f t="shared" si="47"/>
        <v>0</v>
      </c>
      <c r="E216" s="126">
        <f t="shared" si="47"/>
        <v>0</v>
      </c>
      <c r="F216" s="126">
        <f t="shared" si="47"/>
        <v>0</v>
      </c>
      <c r="G216" s="126">
        <f t="shared" si="47"/>
        <v>0</v>
      </c>
      <c r="H216" s="126">
        <f t="shared" si="47"/>
        <v>0</v>
      </c>
      <c r="I216" s="126">
        <f t="shared" si="47"/>
        <v>0</v>
      </c>
      <c r="J216" s="82">
        <f t="shared" si="47"/>
        <v>0</v>
      </c>
    </row>
    <row r="217" spans="1:11" x14ac:dyDescent="0.2">
      <c r="A217" s="139" t="s">
        <v>229</v>
      </c>
      <c r="B217" s="171">
        <v>0</v>
      </c>
      <c r="C217" s="171">
        <v>0</v>
      </c>
      <c r="D217" s="171">
        <v>0</v>
      </c>
      <c r="E217" s="171">
        <v>0</v>
      </c>
      <c r="F217" s="171">
        <v>0</v>
      </c>
      <c r="G217" s="171">
        <v>0</v>
      </c>
      <c r="H217" s="171">
        <v>0</v>
      </c>
      <c r="I217" s="171">
        <v>0</v>
      </c>
      <c r="J217" s="172">
        <v>0</v>
      </c>
    </row>
    <row r="218" spans="1:11" x14ac:dyDescent="0.2">
      <c r="A218" s="139" t="s">
        <v>100</v>
      </c>
      <c r="B218" s="191">
        <v>0</v>
      </c>
      <c r="C218" s="191">
        <v>0</v>
      </c>
      <c r="D218" s="191">
        <v>0</v>
      </c>
      <c r="E218" s="191">
        <v>0</v>
      </c>
      <c r="F218" s="191">
        <v>0</v>
      </c>
      <c r="G218" s="191">
        <v>0</v>
      </c>
      <c r="H218" s="191">
        <v>0</v>
      </c>
      <c r="I218" s="191">
        <v>0</v>
      </c>
      <c r="J218" s="192">
        <v>0</v>
      </c>
    </row>
    <row r="219" spans="1:11" x14ac:dyDescent="0.2">
      <c r="A219" s="139" t="s">
        <v>227</v>
      </c>
      <c r="B219" s="126">
        <f>ROUND(B217*B218,0)</f>
        <v>0</v>
      </c>
      <c r="C219" s="126">
        <f t="shared" ref="C219:J219" si="48">ROUND(C217*C218,0)</f>
        <v>0</v>
      </c>
      <c r="D219" s="126">
        <f t="shared" si="48"/>
        <v>0</v>
      </c>
      <c r="E219" s="126">
        <f t="shared" si="48"/>
        <v>0</v>
      </c>
      <c r="F219" s="126">
        <f t="shared" si="48"/>
        <v>0</v>
      </c>
      <c r="G219" s="126">
        <f t="shared" si="48"/>
        <v>0</v>
      </c>
      <c r="H219" s="126">
        <f t="shared" si="48"/>
        <v>0</v>
      </c>
      <c r="I219" s="126">
        <f t="shared" si="48"/>
        <v>0</v>
      </c>
      <c r="J219" s="82">
        <f t="shared" si="48"/>
        <v>0</v>
      </c>
      <c r="K219" s="44"/>
    </row>
    <row r="220" spans="1:11" x14ac:dyDescent="0.2">
      <c r="A220" s="139" t="s">
        <v>228</v>
      </c>
      <c r="B220" s="135">
        <f>ROUND(B7,0)</f>
        <v>365</v>
      </c>
      <c r="C220" s="135">
        <f t="shared" ref="C220:J220" si="49">ROUND(C7,0)</f>
        <v>730</v>
      </c>
      <c r="D220" s="135">
        <f t="shared" si="49"/>
        <v>1095</v>
      </c>
      <c r="E220" s="135">
        <f t="shared" si="49"/>
        <v>1460</v>
      </c>
      <c r="F220" s="135">
        <f t="shared" si="49"/>
        <v>1825</v>
      </c>
      <c r="G220" s="135">
        <f t="shared" si="49"/>
        <v>2190</v>
      </c>
      <c r="H220" s="135">
        <f t="shared" si="49"/>
        <v>2555</v>
      </c>
      <c r="I220" s="135">
        <f t="shared" si="49"/>
        <v>2920</v>
      </c>
      <c r="J220" s="136">
        <f t="shared" si="49"/>
        <v>3285</v>
      </c>
    </row>
    <row r="221" spans="1:11" x14ac:dyDescent="0.2">
      <c r="A221" s="139" t="s">
        <v>103</v>
      </c>
      <c r="B221" s="126">
        <f>ROUND(B219*B220,0)</f>
        <v>0</v>
      </c>
      <c r="C221" s="126">
        <f t="shared" ref="C221:J221" si="50">ROUND(C219*C220,0)</f>
        <v>0</v>
      </c>
      <c r="D221" s="126">
        <f t="shared" si="50"/>
        <v>0</v>
      </c>
      <c r="E221" s="126">
        <f t="shared" si="50"/>
        <v>0</v>
      </c>
      <c r="F221" s="126">
        <f t="shared" si="50"/>
        <v>0</v>
      </c>
      <c r="G221" s="126">
        <f t="shared" si="50"/>
        <v>0</v>
      </c>
      <c r="H221" s="126">
        <f t="shared" si="50"/>
        <v>0</v>
      </c>
      <c r="I221" s="126">
        <f t="shared" si="50"/>
        <v>0</v>
      </c>
      <c r="J221" s="82">
        <f t="shared" si="50"/>
        <v>0</v>
      </c>
    </row>
    <row r="222" spans="1:11" x14ac:dyDescent="0.2">
      <c r="A222" s="27" t="s">
        <v>102</v>
      </c>
    </row>
    <row r="223" spans="1:11" x14ac:dyDescent="0.2">
      <c r="A223" s="139" t="s">
        <v>105</v>
      </c>
      <c r="B223" s="189">
        <v>7.25</v>
      </c>
      <c r="C223" s="189">
        <v>7.25</v>
      </c>
      <c r="D223" s="189">
        <v>7.25</v>
      </c>
      <c r="E223" s="189">
        <v>7.5</v>
      </c>
      <c r="F223" s="189">
        <v>7.5</v>
      </c>
      <c r="G223" s="189">
        <v>7.5</v>
      </c>
      <c r="H223" s="189">
        <v>8</v>
      </c>
      <c r="I223" s="189">
        <v>8.5</v>
      </c>
      <c r="J223" s="190">
        <v>9</v>
      </c>
    </row>
    <row r="224" spans="1:11" x14ac:dyDescent="0.2">
      <c r="A224" s="139" t="s">
        <v>106</v>
      </c>
      <c r="B224" s="167">
        <v>0</v>
      </c>
      <c r="C224" s="167">
        <v>0</v>
      </c>
      <c r="D224" s="167">
        <v>0</v>
      </c>
      <c r="E224" s="167">
        <v>2080</v>
      </c>
      <c r="F224" s="167">
        <v>2080</v>
      </c>
      <c r="G224" s="167">
        <v>2080</v>
      </c>
      <c r="H224" s="167">
        <v>7300</v>
      </c>
      <c r="I224" s="167">
        <v>7300</v>
      </c>
      <c r="J224" s="168">
        <v>7300</v>
      </c>
    </row>
    <row r="225" spans="1:11" x14ac:dyDescent="0.2">
      <c r="A225" s="139" t="s">
        <v>109</v>
      </c>
      <c r="B225" s="126">
        <f t="shared" ref="B225:J225" si="51">ROUND(B223*B224,0)</f>
        <v>0</v>
      </c>
      <c r="C225" s="126">
        <f t="shared" si="51"/>
        <v>0</v>
      </c>
      <c r="D225" s="126">
        <f t="shared" si="51"/>
        <v>0</v>
      </c>
      <c r="E225" s="126">
        <f t="shared" si="51"/>
        <v>15600</v>
      </c>
      <c r="F225" s="126">
        <f t="shared" si="51"/>
        <v>15600</v>
      </c>
      <c r="G225" s="126">
        <f t="shared" si="51"/>
        <v>15600</v>
      </c>
      <c r="H225" s="126">
        <f t="shared" si="51"/>
        <v>58400</v>
      </c>
      <c r="I225" s="126">
        <f t="shared" si="51"/>
        <v>62050</v>
      </c>
      <c r="J225" s="82">
        <f t="shared" si="51"/>
        <v>65700</v>
      </c>
    </row>
    <row r="226" spans="1:11" x14ac:dyDescent="0.2">
      <c r="A226" s="45" t="s">
        <v>131</v>
      </c>
      <c r="B226" s="34"/>
      <c r="C226" s="34"/>
      <c r="D226" s="34"/>
      <c r="E226" s="34"/>
      <c r="F226" s="34"/>
      <c r="G226" s="34"/>
      <c r="H226" s="34"/>
      <c r="I226" s="34"/>
      <c r="J226" s="34"/>
    </row>
    <row r="227" spans="1:11" x14ac:dyDescent="0.2">
      <c r="A227" s="139" t="s">
        <v>107</v>
      </c>
      <c r="B227" s="167">
        <v>0</v>
      </c>
      <c r="C227" s="167">
        <v>0</v>
      </c>
      <c r="D227" s="167">
        <v>0</v>
      </c>
      <c r="E227" s="167">
        <v>146</v>
      </c>
      <c r="F227" s="167">
        <v>146</v>
      </c>
      <c r="G227" s="167">
        <v>146</v>
      </c>
      <c r="H227" s="167">
        <v>146</v>
      </c>
      <c r="I227" s="167">
        <v>146</v>
      </c>
      <c r="J227" s="168">
        <v>146</v>
      </c>
    </row>
    <row r="228" spans="1:11" x14ac:dyDescent="0.2">
      <c r="A228" s="139" t="s">
        <v>613</v>
      </c>
      <c r="B228" s="126">
        <f t="shared" ref="B228:J228" si="52">ROUND((B223*1.5)*B227,0)</f>
        <v>0</v>
      </c>
      <c r="C228" s="126">
        <f t="shared" si="52"/>
        <v>0</v>
      </c>
      <c r="D228" s="126">
        <f t="shared" si="52"/>
        <v>0</v>
      </c>
      <c r="E228" s="126">
        <f t="shared" si="52"/>
        <v>1643</v>
      </c>
      <c r="F228" s="126">
        <f t="shared" si="52"/>
        <v>1643</v>
      </c>
      <c r="G228" s="126">
        <f t="shared" si="52"/>
        <v>1643</v>
      </c>
      <c r="H228" s="126">
        <f t="shared" si="52"/>
        <v>1752</v>
      </c>
      <c r="I228" s="126">
        <f t="shared" si="52"/>
        <v>1862</v>
      </c>
      <c r="J228" s="82">
        <f t="shared" si="52"/>
        <v>1971</v>
      </c>
    </row>
    <row r="229" spans="1:11" x14ac:dyDescent="0.2">
      <c r="A229" s="139" t="s">
        <v>111</v>
      </c>
      <c r="B229" s="167">
        <v>0</v>
      </c>
      <c r="C229" s="167">
        <v>0</v>
      </c>
      <c r="D229" s="167">
        <v>0</v>
      </c>
      <c r="E229" s="167">
        <v>170</v>
      </c>
      <c r="F229" s="167">
        <v>170</v>
      </c>
      <c r="G229" s="167">
        <v>170</v>
      </c>
      <c r="H229" s="167">
        <v>204</v>
      </c>
      <c r="I229" s="167">
        <v>245</v>
      </c>
      <c r="J229" s="168">
        <v>340</v>
      </c>
    </row>
    <row r="230" spans="1:11" x14ac:dyDescent="0.2">
      <c r="A230" s="139" t="s">
        <v>112</v>
      </c>
      <c r="B230" s="126">
        <f t="shared" ref="B230:J230" si="53">ROUND(B223*1.5*B229,0)</f>
        <v>0</v>
      </c>
      <c r="C230" s="126">
        <f t="shared" si="53"/>
        <v>0</v>
      </c>
      <c r="D230" s="126">
        <f t="shared" si="53"/>
        <v>0</v>
      </c>
      <c r="E230" s="126">
        <f t="shared" si="53"/>
        <v>1913</v>
      </c>
      <c r="F230" s="126">
        <f t="shared" si="53"/>
        <v>1913</v>
      </c>
      <c r="G230" s="126">
        <f t="shared" si="53"/>
        <v>1913</v>
      </c>
      <c r="H230" s="126">
        <f t="shared" si="53"/>
        <v>2448</v>
      </c>
      <c r="I230" s="126">
        <f t="shared" si="53"/>
        <v>3124</v>
      </c>
      <c r="J230" s="82">
        <f t="shared" si="53"/>
        <v>4590</v>
      </c>
    </row>
    <row r="231" spans="1:11" s="455" customFormat="1" x14ac:dyDescent="0.2">
      <c r="A231" s="198"/>
      <c r="B231" s="42"/>
      <c r="C231" s="42"/>
      <c r="D231" s="42"/>
      <c r="E231" s="42"/>
      <c r="F231" s="42"/>
      <c r="G231" s="42"/>
      <c r="H231" s="42"/>
      <c r="I231" s="42"/>
      <c r="J231" s="42"/>
      <c r="K231" s="34"/>
    </row>
    <row r="232" spans="1:11" s="455" customFormat="1" x14ac:dyDescent="0.2">
      <c r="A232" s="502" t="s">
        <v>578</v>
      </c>
      <c r="B232" s="502"/>
      <c r="C232" s="502"/>
      <c r="D232" s="502"/>
      <c r="E232" s="502"/>
      <c r="F232" s="502"/>
      <c r="G232" s="502"/>
      <c r="H232" s="502"/>
      <c r="I232" s="502"/>
      <c r="J232" s="502"/>
    </row>
    <row r="233" spans="1:11" x14ac:dyDescent="0.2">
      <c r="A233" s="26" t="s">
        <v>128</v>
      </c>
    </row>
    <row r="234" spans="1:11" x14ac:dyDescent="0.2">
      <c r="A234" s="67" t="s">
        <v>113</v>
      </c>
      <c r="B234" s="67"/>
      <c r="C234" s="67"/>
      <c r="D234" s="67"/>
      <c r="E234" s="67"/>
      <c r="F234" s="67"/>
      <c r="G234" s="67"/>
      <c r="H234" s="67"/>
      <c r="I234" s="67"/>
      <c r="J234" s="67"/>
    </row>
    <row r="235" spans="1:11" x14ac:dyDescent="0.2">
      <c r="A235" s="139" t="s">
        <v>114</v>
      </c>
      <c r="B235" s="126">
        <f t="shared" ref="B235:J235" si="54">ROUND(B150+B155,0)</f>
        <v>18250</v>
      </c>
      <c r="C235" s="126">
        <f t="shared" si="54"/>
        <v>0</v>
      </c>
      <c r="D235" s="126">
        <f t="shared" si="54"/>
        <v>0</v>
      </c>
      <c r="E235" s="126">
        <f t="shared" si="54"/>
        <v>0</v>
      </c>
      <c r="F235" s="126">
        <f t="shared" si="54"/>
        <v>0</v>
      </c>
      <c r="G235" s="126">
        <f t="shared" si="54"/>
        <v>0</v>
      </c>
      <c r="H235" s="126">
        <f t="shared" si="54"/>
        <v>0</v>
      </c>
      <c r="I235" s="126">
        <f t="shared" si="54"/>
        <v>0</v>
      </c>
      <c r="J235" s="82">
        <f t="shared" si="54"/>
        <v>0</v>
      </c>
      <c r="K235" s="34"/>
    </row>
    <row r="236" spans="1:11" x14ac:dyDescent="0.2">
      <c r="A236" s="139" t="s">
        <v>130</v>
      </c>
      <c r="B236" s="126">
        <f t="shared" ref="B236:J236" si="55">ROUND(B159,0)</f>
        <v>52925</v>
      </c>
      <c r="C236" s="126">
        <f t="shared" si="55"/>
        <v>52925</v>
      </c>
      <c r="D236" s="126">
        <f t="shared" si="55"/>
        <v>52925</v>
      </c>
      <c r="E236" s="126">
        <f t="shared" si="55"/>
        <v>52925</v>
      </c>
      <c r="F236" s="126">
        <f t="shared" si="55"/>
        <v>52925</v>
      </c>
      <c r="G236" s="126">
        <f t="shared" si="55"/>
        <v>52925</v>
      </c>
      <c r="H236" s="126">
        <f t="shared" si="55"/>
        <v>52925</v>
      </c>
      <c r="I236" s="126">
        <f t="shared" si="55"/>
        <v>52925</v>
      </c>
      <c r="J236" s="82">
        <f t="shared" si="55"/>
        <v>52925</v>
      </c>
      <c r="K236" s="34"/>
    </row>
    <row r="237" spans="1:11" x14ac:dyDescent="0.2">
      <c r="A237" s="139" t="s">
        <v>116</v>
      </c>
      <c r="B237" s="126">
        <f t="shared" ref="B237:J237" si="56">ROUND(B150+B155,0)</f>
        <v>18250</v>
      </c>
      <c r="C237" s="126">
        <f t="shared" si="56"/>
        <v>0</v>
      </c>
      <c r="D237" s="126">
        <f t="shared" si="56"/>
        <v>0</v>
      </c>
      <c r="E237" s="126">
        <f t="shared" si="56"/>
        <v>0</v>
      </c>
      <c r="F237" s="126">
        <f t="shared" si="56"/>
        <v>0</v>
      </c>
      <c r="G237" s="126">
        <f t="shared" si="56"/>
        <v>0</v>
      </c>
      <c r="H237" s="126">
        <f t="shared" si="56"/>
        <v>0</v>
      </c>
      <c r="I237" s="126">
        <f t="shared" si="56"/>
        <v>0</v>
      </c>
      <c r="J237" s="82">
        <f t="shared" si="56"/>
        <v>0</v>
      </c>
      <c r="K237" s="34"/>
    </row>
    <row r="238" spans="1:11" x14ac:dyDescent="0.2">
      <c r="A238" s="139" t="s">
        <v>117</v>
      </c>
      <c r="B238" s="126">
        <f>ROUND(B236-B237,0)</f>
        <v>34675</v>
      </c>
      <c r="C238" s="126">
        <f t="shared" ref="C238:J238" si="57">ROUND(C236-C237,0)</f>
        <v>52925</v>
      </c>
      <c r="D238" s="126">
        <f t="shared" si="57"/>
        <v>52925</v>
      </c>
      <c r="E238" s="126">
        <f t="shared" si="57"/>
        <v>52925</v>
      </c>
      <c r="F238" s="126">
        <f t="shared" si="57"/>
        <v>52925</v>
      </c>
      <c r="G238" s="126">
        <f t="shared" si="57"/>
        <v>52925</v>
      </c>
      <c r="H238" s="126">
        <f t="shared" si="57"/>
        <v>52925</v>
      </c>
      <c r="I238" s="126">
        <f t="shared" si="57"/>
        <v>52925</v>
      </c>
      <c r="J238" s="82">
        <f t="shared" si="57"/>
        <v>52925</v>
      </c>
      <c r="K238" s="34"/>
    </row>
    <row r="239" spans="1:11" x14ac:dyDescent="0.2">
      <c r="A239" s="139" t="s">
        <v>129</v>
      </c>
      <c r="B239" s="126">
        <f>ROUND(B162+B164,0)</f>
        <v>1588</v>
      </c>
      <c r="C239" s="126">
        <f t="shared" ref="C239:J239" si="58">ROUND(C162+C164,0)</f>
        <v>2512</v>
      </c>
      <c r="D239" s="126">
        <f t="shared" si="58"/>
        <v>2512</v>
      </c>
      <c r="E239" s="126">
        <f t="shared" si="58"/>
        <v>3437</v>
      </c>
      <c r="F239" s="126">
        <f t="shared" si="58"/>
        <v>3437</v>
      </c>
      <c r="G239" s="126">
        <f t="shared" si="58"/>
        <v>3437</v>
      </c>
      <c r="H239" s="126">
        <f t="shared" si="58"/>
        <v>3807</v>
      </c>
      <c r="I239" s="126">
        <f t="shared" si="58"/>
        <v>4252</v>
      </c>
      <c r="J239" s="82">
        <f t="shared" si="58"/>
        <v>5286</v>
      </c>
      <c r="K239" s="34"/>
    </row>
    <row r="240" spans="1:11" x14ac:dyDescent="0.2">
      <c r="A240" s="27" t="s">
        <v>118</v>
      </c>
    </row>
    <row r="241" spans="1:11" x14ac:dyDescent="0.2">
      <c r="A241" s="139" t="s">
        <v>114</v>
      </c>
      <c r="B241" s="126">
        <f t="shared" ref="B241:J241" si="59">ROUND(B171+B176,0)</f>
        <v>18250</v>
      </c>
      <c r="C241" s="126">
        <f t="shared" si="59"/>
        <v>0</v>
      </c>
      <c r="D241" s="126">
        <f t="shared" si="59"/>
        <v>0</v>
      </c>
      <c r="E241" s="126">
        <f t="shared" si="59"/>
        <v>0</v>
      </c>
      <c r="F241" s="126">
        <f t="shared" si="59"/>
        <v>0</v>
      </c>
      <c r="G241" s="126">
        <f t="shared" si="59"/>
        <v>0</v>
      </c>
      <c r="H241" s="126">
        <f t="shared" si="59"/>
        <v>0</v>
      </c>
      <c r="I241" s="126">
        <f t="shared" si="59"/>
        <v>0</v>
      </c>
      <c r="J241" s="82">
        <f t="shared" si="59"/>
        <v>0</v>
      </c>
      <c r="K241" s="34"/>
    </row>
    <row r="242" spans="1:11" x14ac:dyDescent="0.2">
      <c r="A242" s="139" t="s">
        <v>115</v>
      </c>
      <c r="B242" s="126">
        <f t="shared" ref="B242:J242" si="60">ROUND(B180,0)</f>
        <v>52925</v>
      </c>
      <c r="C242" s="126">
        <f t="shared" si="60"/>
        <v>52925</v>
      </c>
      <c r="D242" s="126">
        <f t="shared" si="60"/>
        <v>52925</v>
      </c>
      <c r="E242" s="126">
        <f t="shared" si="60"/>
        <v>52925</v>
      </c>
      <c r="F242" s="126">
        <f t="shared" si="60"/>
        <v>52925</v>
      </c>
      <c r="G242" s="126">
        <f t="shared" si="60"/>
        <v>52925</v>
      </c>
      <c r="H242" s="126">
        <f t="shared" si="60"/>
        <v>52925</v>
      </c>
      <c r="I242" s="126">
        <f t="shared" si="60"/>
        <v>54750</v>
      </c>
      <c r="J242" s="82">
        <f t="shared" si="60"/>
        <v>54750</v>
      </c>
      <c r="K242" s="34"/>
    </row>
    <row r="243" spans="1:11" x14ac:dyDescent="0.2">
      <c r="A243" s="139" t="s">
        <v>116</v>
      </c>
      <c r="B243" s="126">
        <f t="shared" ref="B243:J243" si="61">ROUND(B171+B176,0)</f>
        <v>18250</v>
      </c>
      <c r="C243" s="126">
        <f t="shared" si="61"/>
        <v>0</v>
      </c>
      <c r="D243" s="126">
        <f t="shared" si="61"/>
        <v>0</v>
      </c>
      <c r="E243" s="126">
        <f t="shared" si="61"/>
        <v>0</v>
      </c>
      <c r="F243" s="126">
        <f t="shared" si="61"/>
        <v>0</v>
      </c>
      <c r="G243" s="126">
        <f t="shared" si="61"/>
        <v>0</v>
      </c>
      <c r="H243" s="126">
        <f t="shared" si="61"/>
        <v>0</v>
      </c>
      <c r="I243" s="126">
        <f t="shared" si="61"/>
        <v>0</v>
      </c>
      <c r="J243" s="82">
        <f t="shared" si="61"/>
        <v>0</v>
      </c>
      <c r="K243" s="34"/>
    </row>
    <row r="244" spans="1:11" x14ac:dyDescent="0.2">
      <c r="A244" s="139" t="s">
        <v>117</v>
      </c>
      <c r="B244" s="126">
        <f>ROUND(B242-B243,0)</f>
        <v>34675</v>
      </c>
      <c r="C244" s="126">
        <f t="shared" ref="C244:J244" si="62">ROUND(C242-C243,0)</f>
        <v>52925</v>
      </c>
      <c r="D244" s="126">
        <f t="shared" si="62"/>
        <v>52925</v>
      </c>
      <c r="E244" s="126">
        <f t="shared" si="62"/>
        <v>52925</v>
      </c>
      <c r="F244" s="126">
        <f t="shared" si="62"/>
        <v>52925</v>
      </c>
      <c r="G244" s="126">
        <f t="shared" si="62"/>
        <v>52925</v>
      </c>
      <c r="H244" s="126">
        <f t="shared" si="62"/>
        <v>52925</v>
      </c>
      <c r="I244" s="126">
        <f t="shared" si="62"/>
        <v>54750</v>
      </c>
      <c r="J244" s="82">
        <f t="shared" si="62"/>
        <v>54750</v>
      </c>
      <c r="K244" s="34"/>
    </row>
    <row r="245" spans="1:11" x14ac:dyDescent="0.2">
      <c r="A245" s="139" t="s">
        <v>129</v>
      </c>
      <c r="B245" s="126">
        <f>ROUND(B183+B185,0)</f>
        <v>1588</v>
      </c>
      <c r="C245" s="126">
        <f t="shared" ref="C245:J245" si="63">ROUND(C183+C185,0)</f>
        <v>2512</v>
      </c>
      <c r="D245" s="126">
        <f t="shared" si="63"/>
        <v>2512</v>
      </c>
      <c r="E245" s="126">
        <f t="shared" si="63"/>
        <v>3437</v>
      </c>
      <c r="F245" s="126">
        <f t="shared" si="63"/>
        <v>3437</v>
      </c>
      <c r="G245" s="126">
        <f t="shared" si="63"/>
        <v>3437</v>
      </c>
      <c r="H245" s="126">
        <f t="shared" si="63"/>
        <v>3807</v>
      </c>
      <c r="I245" s="126">
        <f t="shared" si="63"/>
        <v>4399</v>
      </c>
      <c r="J245" s="82">
        <f t="shared" si="63"/>
        <v>5468</v>
      </c>
      <c r="K245" s="34"/>
    </row>
    <row r="246" spans="1:11" x14ac:dyDescent="0.2">
      <c r="A246" s="27" t="s">
        <v>119</v>
      </c>
    </row>
    <row r="247" spans="1:11" x14ac:dyDescent="0.2">
      <c r="A247" s="139" t="s">
        <v>114</v>
      </c>
      <c r="B247" s="126">
        <f t="shared" ref="B247:J247" si="64">ROUND(B195+B200,0)</f>
        <v>0</v>
      </c>
      <c r="C247" s="126">
        <f t="shared" si="64"/>
        <v>0</v>
      </c>
      <c r="D247" s="126">
        <f t="shared" si="64"/>
        <v>0</v>
      </c>
      <c r="E247" s="126">
        <f t="shared" si="64"/>
        <v>0</v>
      </c>
      <c r="F247" s="126">
        <f t="shared" si="64"/>
        <v>0</v>
      </c>
      <c r="G247" s="126">
        <f t="shared" si="64"/>
        <v>0</v>
      </c>
      <c r="H247" s="126">
        <f t="shared" si="64"/>
        <v>0</v>
      </c>
      <c r="I247" s="126">
        <f t="shared" si="64"/>
        <v>0</v>
      </c>
      <c r="J247" s="82">
        <f t="shared" si="64"/>
        <v>0</v>
      </c>
      <c r="K247" s="34"/>
    </row>
    <row r="248" spans="1:11" x14ac:dyDescent="0.2">
      <c r="A248" s="139" t="s">
        <v>115</v>
      </c>
      <c r="B248" s="126">
        <f>ROUND(B204,0)</f>
        <v>0</v>
      </c>
      <c r="C248" s="126">
        <f t="shared" ref="C248:J248" si="65">ROUND(C204,0)</f>
        <v>0</v>
      </c>
      <c r="D248" s="126">
        <f t="shared" si="65"/>
        <v>0</v>
      </c>
      <c r="E248" s="126">
        <f t="shared" si="65"/>
        <v>15600</v>
      </c>
      <c r="F248" s="126">
        <f t="shared" si="65"/>
        <v>15600</v>
      </c>
      <c r="G248" s="126">
        <f t="shared" si="65"/>
        <v>15600</v>
      </c>
      <c r="H248" s="126">
        <f t="shared" si="65"/>
        <v>54750</v>
      </c>
      <c r="I248" s="126">
        <f t="shared" si="65"/>
        <v>54750</v>
      </c>
      <c r="J248" s="82">
        <f t="shared" si="65"/>
        <v>54750</v>
      </c>
      <c r="K248" s="34"/>
    </row>
    <row r="249" spans="1:11" x14ac:dyDescent="0.2">
      <c r="A249" s="139" t="s">
        <v>116</v>
      </c>
      <c r="B249" s="126">
        <f t="shared" ref="B249:J249" si="66">ROUND(B195+B200,0)</f>
        <v>0</v>
      </c>
      <c r="C249" s="126">
        <f t="shared" si="66"/>
        <v>0</v>
      </c>
      <c r="D249" s="126">
        <f t="shared" si="66"/>
        <v>0</v>
      </c>
      <c r="E249" s="126">
        <f t="shared" si="66"/>
        <v>0</v>
      </c>
      <c r="F249" s="126">
        <f t="shared" si="66"/>
        <v>0</v>
      </c>
      <c r="G249" s="126">
        <f t="shared" si="66"/>
        <v>0</v>
      </c>
      <c r="H249" s="126">
        <f t="shared" si="66"/>
        <v>0</v>
      </c>
      <c r="I249" s="126">
        <f t="shared" si="66"/>
        <v>0</v>
      </c>
      <c r="J249" s="82">
        <f t="shared" si="66"/>
        <v>0</v>
      </c>
      <c r="K249" s="34"/>
    </row>
    <row r="250" spans="1:11" x14ac:dyDescent="0.2">
      <c r="A250" s="139" t="s">
        <v>117</v>
      </c>
      <c r="B250" s="126">
        <f>ROUND(B248-B249,0)</f>
        <v>0</v>
      </c>
      <c r="C250" s="126">
        <f t="shared" ref="C250:J250" si="67">ROUND(C248-C249,0)</f>
        <v>0</v>
      </c>
      <c r="D250" s="126">
        <f t="shared" si="67"/>
        <v>0</v>
      </c>
      <c r="E250" s="126">
        <f t="shared" si="67"/>
        <v>15600</v>
      </c>
      <c r="F250" s="126">
        <f t="shared" si="67"/>
        <v>15600</v>
      </c>
      <c r="G250" s="126">
        <f t="shared" si="67"/>
        <v>15600</v>
      </c>
      <c r="H250" s="126">
        <f t="shared" si="67"/>
        <v>54750</v>
      </c>
      <c r="I250" s="126">
        <f t="shared" si="67"/>
        <v>54750</v>
      </c>
      <c r="J250" s="82">
        <f t="shared" si="67"/>
        <v>54750</v>
      </c>
      <c r="K250" s="34"/>
    </row>
    <row r="251" spans="1:11" x14ac:dyDescent="0.2">
      <c r="A251" s="139" t="s">
        <v>129</v>
      </c>
      <c r="B251" s="126">
        <f>ROUND(B207+B209,0)</f>
        <v>0</v>
      </c>
      <c r="C251" s="126">
        <f t="shared" ref="C251:J251" si="68">ROUND(C207+C209,0)</f>
        <v>0</v>
      </c>
      <c r="D251" s="126">
        <f t="shared" si="68"/>
        <v>0</v>
      </c>
      <c r="E251" s="126">
        <f t="shared" si="68"/>
        <v>3556</v>
      </c>
      <c r="F251" s="126">
        <f t="shared" si="68"/>
        <v>3556</v>
      </c>
      <c r="G251" s="126">
        <f t="shared" si="68"/>
        <v>3556</v>
      </c>
      <c r="H251" s="126">
        <f t="shared" si="68"/>
        <v>3938</v>
      </c>
      <c r="I251" s="126">
        <f t="shared" si="68"/>
        <v>4399</v>
      </c>
      <c r="J251" s="82">
        <f t="shared" si="68"/>
        <v>5468</v>
      </c>
      <c r="K251" s="34"/>
    </row>
    <row r="252" spans="1:11" s="124" customFormat="1" x14ac:dyDescent="0.2">
      <c r="A252" s="198"/>
      <c r="B252" s="42"/>
      <c r="C252" s="42"/>
      <c r="D252" s="42"/>
      <c r="E252" s="42"/>
      <c r="F252" s="42"/>
      <c r="G252" s="42"/>
      <c r="H252" s="42"/>
      <c r="I252" s="42"/>
      <c r="J252" s="42"/>
      <c r="K252" s="34"/>
    </row>
    <row r="253" spans="1:11" s="124" customFormat="1" x14ac:dyDescent="0.2">
      <c r="A253" s="502" t="s">
        <v>579</v>
      </c>
      <c r="B253" s="502"/>
      <c r="C253" s="502"/>
      <c r="D253" s="502"/>
      <c r="E253" s="502"/>
      <c r="F253" s="502"/>
      <c r="G253" s="502"/>
      <c r="H253" s="502"/>
      <c r="I253" s="502"/>
      <c r="J253" s="502"/>
    </row>
    <row r="254" spans="1:11" x14ac:dyDescent="0.2">
      <c r="A254" s="26" t="s">
        <v>127</v>
      </c>
    </row>
    <row r="255" spans="1:11" x14ac:dyDescent="0.2">
      <c r="A255" s="27" t="s">
        <v>120</v>
      </c>
    </row>
    <row r="256" spans="1:11" x14ac:dyDescent="0.2">
      <c r="A256" s="139" t="s">
        <v>114</v>
      </c>
      <c r="B256" s="126">
        <f>ROUND(B216+B221,0)</f>
        <v>0</v>
      </c>
      <c r="C256" s="126">
        <f t="shared" ref="C256:I256" si="69">ROUND(C216+C221,0)</f>
        <v>0</v>
      </c>
      <c r="D256" s="126">
        <f t="shared" si="69"/>
        <v>0</v>
      </c>
      <c r="E256" s="126">
        <f t="shared" si="69"/>
        <v>0</v>
      </c>
      <c r="F256" s="126">
        <f t="shared" si="69"/>
        <v>0</v>
      </c>
      <c r="G256" s="126">
        <f t="shared" si="69"/>
        <v>0</v>
      </c>
      <c r="H256" s="126">
        <f t="shared" si="69"/>
        <v>0</v>
      </c>
      <c r="I256" s="126">
        <f t="shared" si="69"/>
        <v>0</v>
      </c>
      <c r="J256" s="82">
        <f>ROUND(J216+J221,0)</f>
        <v>0</v>
      </c>
      <c r="K256" s="34"/>
    </row>
    <row r="257" spans="1:11" x14ac:dyDescent="0.2">
      <c r="A257" s="139" t="s">
        <v>115</v>
      </c>
      <c r="B257" s="126">
        <f>ROUND(B225,0)</f>
        <v>0</v>
      </c>
      <c r="C257" s="126">
        <f t="shared" ref="C257:I257" si="70">ROUND(C225,0)</f>
        <v>0</v>
      </c>
      <c r="D257" s="126">
        <f t="shared" si="70"/>
        <v>0</v>
      </c>
      <c r="E257" s="126">
        <f t="shared" si="70"/>
        <v>15600</v>
      </c>
      <c r="F257" s="126">
        <f t="shared" si="70"/>
        <v>15600</v>
      </c>
      <c r="G257" s="126">
        <f t="shared" si="70"/>
        <v>15600</v>
      </c>
      <c r="H257" s="126">
        <f t="shared" si="70"/>
        <v>58400</v>
      </c>
      <c r="I257" s="126">
        <f t="shared" si="70"/>
        <v>62050</v>
      </c>
      <c r="J257" s="82">
        <f>ROUND(J225,0)</f>
        <v>65700</v>
      </c>
      <c r="K257" s="34"/>
    </row>
    <row r="258" spans="1:11" x14ac:dyDescent="0.2">
      <c r="A258" s="139" t="s">
        <v>116</v>
      </c>
      <c r="B258" s="126">
        <f>ROUND(B216+B221,0)</f>
        <v>0</v>
      </c>
      <c r="C258" s="126">
        <f t="shared" ref="C258:I258" si="71">ROUND(C216+C221,0)</f>
        <v>0</v>
      </c>
      <c r="D258" s="126">
        <f t="shared" si="71"/>
        <v>0</v>
      </c>
      <c r="E258" s="126">
        <f t="shared" si="71"/>
        <v>0</v>
      </c>
      <c r="F258" s="126">
        <f t="shared" si="71"/>
        <v>0</v>
      </c>
      <c r="G258" s="126">
        <f t="shared" si="71"/>
        <v>0</v>
      </c>
      <c r="H258" s="126">
        <f t="shared" si="71"/>
        <v>0</v>
      </c>
      <c r="I258" s="126">
        <f t="shared" si="71"/>
        <v>0</v>
      </c>
      <c r="J258" s="82">
        <f>ROUND(J216+J221,0)</f>
        <v>0</v>
      </c>
      <c r="K258" s="34"/>
    </row>
    <row r="259" spans="1:11" x14ac:dyDescent="0.2">
      <c r="A259" s="139" t="s">
        <v>117</v>
      </c>
      <c r="B259" s="126">
        <f>ROUND(B257-B258,0)</f>
        <v>0</v>
      </c>
      <c r="C259" s="126">
        <f t="shared" ref="C259:J259" si="72">ROUND(C257-C258,0)</f>
        <v>0</v>
      </c>
      <c r="D259" s="126">
        <f t="shared" si="72"/>
        <v>0</v>
      </c>
      <c r="E259" s="126">
        <f t="shared" si="72"/>
        <v>15600</v>
      </c>
      <c r="F259" s="126">
        <f t="shared" si="72"/>
        <v>15600</v>
      </c>
      <c r="G259" s="126">
        <f t="shared" si="72"/>
        <v>15600</v>
      </c>
      <c r="H259" s="126">
        <f t="shared" si="72"/>
        <v>58400</v>
      </c>
      <c r="I259" s="126">
        <f t="shared" si="72"/>
        <v>62050</v>
      </c>
      <c r="J259" s="82">
        <f t="shared" si="72"/>
        <v>65700</v>
      </c>
      <c r="K259" s="34"/>
    </row>
    <row r="260" spans="1:11" x14ac:dyDescent="0.2">
      <c r="A260" s="139" t="s">
        <v>129</v>
      </c>
      <c r="B260" s="126">
        <f>ROUND(B228+B230,0)</f>
        <v>0</v>
      </c>
      <c r="C260" s="126">
        <f t="shared" ref="C260:I260" si="73">ROUND(C228+C230,0)</f>
        <v>0</v>
      </c>
      <c r="D260" s="126">
        <f t="shared" si="73"/>
        <v>0</v>
      </c>
      <c r="E260" s="126">
        <f t="shared" si="73"/>
        <v>3556</v>
      </c>
      <c r="F260" s="126">
        <f t="shared" si="73"/>
        <v>3556</v>
      </c>
      <c r="G260" s="126">
        <f t="shared" si="73"/>
        <v>3556</v>
      </c>
      <c r="H260" s="126">
        <f t="shared" si="73"/>
        <v>4200</v>
      </c>
      <c r="I260" s="126">
        <f t="shared" si="73"/>
        <v>4986</v>
      </c>
      <c r="J260" s="82">
        <f>ROUND(J228+J230,0)</f>
        <v>6561</v>
      </c>
      <c r="K260" s="34"/>
    </row>
    <row r="261" spans="1:11" s="124" customFormat="1" ht="7.5" customHeight="1" x14ac:dyDescent="0.2">
      <c r="A261" s="36"/>
      <c r="B261" s="34"/>
      <c r="C261" s="34"/>
      <c r="D261" s="34"/>
      <c r="E261" s="34"/>
      <c r="F261" s="34"/>
      <c r="G261" s="34"/>
      <c r="H261" s="34"/>
      <c r="I261" s="34"/>
      <c r="J261" s="34"/>
    </row>
    <row r="262" spans="1:11" x14ac:dyDescent="0.2">
      <c r="A262" s="139" t="s">
        <v>132</v>
      </c>
      <c r="B262" s="169">
        <v>0.15</v>
      </c>
      <c r="C262" s="169">
        <v>0.15</v>
      </c>
      <c r="D262" s="169">
        <v>0.15</v>
      </c>
      <c r="E262" s="169">
        <v>0.15</v>
      </c>
      <c r="F262" s="169">
        <v>0.15</v>
      </c>
      <c r="G262" s="169">
        <v>0.15</v>
      </c>
      <c r="H262" s="169">
        <v>0.15</v>
      </c>
      <c r="I262" s="169">
        <v>0.15</v>
      </c>
      <c r="J262" s="170">
        <v>0.15</v>
      </c>
    </row>
    <row r="263" spans="1:11" x14ac:dyDescent="0.2">
      <c r="A263" s="139" t="s">
        <v>137</v>
      </c>
      <c r="B263" s="126">
        <f t="shared" ref="B263:J263" si="74">ROUND((B235+B241+B238+B244)*B262,1)</f>
        <v>15877.5</v>
      </c>
      <c r="C263" s="126">
        <f t="shared" si="74"/>
        <v>15877.5</v>
      </c>
      <c r="D263" s="126">
        <f t="shared" si="74"/>
        <v>15877.5</v>
      </c>
      <c r="E263" s="126">
        <f t="shared" si="74"/>
        <v>15877.5</v>
      </c>
      <c r="F263" s="126">
        <f t="shared" si="74"/>
        <v>15877.5</v>
      </c>
      <c r="G263" s="126">
        <f t="shared" si="74"/>
        <v>15877.5</v>
      </c>
      <c r="H263" s="126">
        <f t="shared" si="74"/>
        <v>15877.5</v>
      </c>
      <c r="I263" s="126">
        <f t="shared" si="74"/>
        <v>16151.3</v>
      </c>
      <c r="J263" s="82">
        <f t="shared" si="74"/>
        <v>16151.3</v>
      </c>
    </row>
    <row r="264" spans="1:11" x14ac:dyDescent="0.2">
      <c r="A264" s="139" t="s">
        <v>141</v>
      </c>
      <c r="B264" s="126">
        <f t="shared" ref="B264:J264" si="75">ROUND((B247+B256+B250+B259)*B262,1)</f>
        <v>0</v>
      </c>
      <c r="C264" s="126">
        <f t="shared" si="75"/>
        <v>0</v>
      </c>
      <c r="D264" s="126">
        <f t="shared" si="75"/>
        <v>0</v>
      </c>
      <c r="E264" s="126">
        <f t="shared" si="75"/>
        <v>4680</v>
      </c>
      <c r="F264" s="126">
        <f t="shared" si="75"/>
        <v>4680</v>
      </c>
      <c r="G264" s="126">
        <f t="shared" si="75"/>
        <v>4680</v>
      </c>
      <c r="H264" s="126">
        <f t="shared" si="75"/>
        <v>16972.5</v>
      </c>
      <c r="I264" s="126">
        <f t="shared" si="75"/>
        <v>17520</v>
      </c>
      <c r="J264" s="82">
        <f t="shared" si="75"/>
        <v>18067.5</v>
      </c>
    </row>
    <row r="265" spans="1:11" x14ac:dyDescent="0.2">
      <c r="A265" s="154" t="s">
        <v>133</v>
      </c>
      <c r="B265" s="126">
        <f>SUM(B263:B264)</f>
        <v>15877.5</v>
      </c>
      <c r="C265" s="126">
        <f t="shared" ref="C265:J265" si="76">SUM(C263:C264)</f>
        <v>15877.5</v>
      </c>
      <c r="D265" s="126">
        <f t="shared" si="76"/>
        <v>15877.5</v>
      </c>
      <c r="E265" s="126">
        <f t="shared" si="76"/>
        <v>20557.5</v>
      </c>
      <c r="F265" s="126">
        <f t="shared" si="76"/>
        <v>20557.5</v>
      </c>
      <c r="G265" s="126">
        <f t="shared" si="76"/>
        <v>20557.5</v>
      </c>
      <c r="H265" s="126">
        <f t="shared" si="76"/>
        <v>32850</v>
      </c>
      <c r="I265" s="126">
        <f t="shared" si="76"/>
        <v>33671.300000000003</v>
      </c>
      <c r="J265" s="82">
        <f t="shared" si="76"/>
        <v>34218.800000000003</v>
      </c>
    </row>
    <row r="266" spans="1:11" x14ac:dyDescent="0.2">
      <c r="A266" s="154" t="s">
        <v>142</v>
      </c>
      <c r="B266" s="126">
        <f t="shared" ref="B266:J266" si="77">ROUND((B235+B241+B247+B256+B238+B244+B250+B259)*B262,1)</f>
        <v>15877.5</v>
      </c>
      <c r="C266" s="126">
        <f t="shared" si="77"/>
        <v>15877.5</v>
      </c>
      <c r="D266" s="126">
        <f t="shared" si="77"/>
        <v>15877.5</v>
      </c>
      <c r="E266" s="126">
        <f t="shared" si="77"/>
        <v>20557.5</v>
      </c>
      <c r="F266" s="126">
        <f t="shared" si="77"/>
        <v>20557.5</v>
      </c>
      <c r="G266" s="126">
        <f t="shared" si="77"/>
        <v>20557.5</v>
      </c>
      <c r="H266" s="126">
        <f t="shared" si="77"/>
        <v>32850</v>
      </c>
      <c r="I266" s="126">
        <f t="shared" si="77"/>
        <v>33671.300000000003</v>
      </c>
      <c r="J266" s="82">
        <f t="shared" si="77"/>
        <v>34218.800000000003</v>
      </c>
    </row>
    <row r="267" spans="1:11" x14ac:dyDescent="0.2">
      <c r="A267" s="125" t="s">
        <v>29</v>
      </c>
      <c r="B267" s="135">
        <f>ROUND(B265-B266,1)</f>
        <v>0</v>
      </c>
      <c r="C267" s="135">
        <f t="shared" ref="C267:J267" si="78">ROUND(C265-C266,1)</f>
        <v>0</v>
      </c>
      <c r="D267" s="135">
        <f t="shared" si="78"/>
        <v>0</v>
      </c>
      <c r="E267" s="135">
        <f t="shared" si="78"/>
        <v>0</v>
      </c>
      <c r="F267" s="135">
        <f t="shared" si="78"/>
        <v>0</v>
      </c>
      <c r="G267" s="135">
        <f t="shared" si="78"/>
        <v>0</v>
      </c>
      <c r="H267" s="135">
        <f t="shared" si="78"/>
        <v>0</v>
      </c>
      <c r="I267" s="135">
        <f t="shared" si="78"/>
        <v>0</v>
      </c>
      <c r="J267" s="136">
        <f t="shared" si="78"/>
        <v>0</v>
      </c>
      <c r="K267" s="29"/>
    </row>
    <row r="268" spans="1:11" s="455" customFormat="1" x14ac:dyDescent="0.2">
      <c r="A268" s="198"/>
      <c r="B268" s="42"/>
      <c r="C268" s="42"/>
      <c r="D268" s="42"/>
      <c r="E268" s="42"/>
      <c r="F268" s="42"/>
      <c r="G268" s="42"/>
      <c r="H268" s="42"/>
      <c r="I268" s="42"/>
      <c r="J268" s="42"/>
      <c r="K268" s="34"/>
    </row>
    <row r="269" spans="1:11" s="455" customFormat="1" x14ac:dyDescent="0.2">
      <c r="A269" s="502" t="s">
        <v>580</v>
      </c>
      <c r="B269" s="502"/>
      <c r="C269" s="502"/>
      <c r="D269" s="502"/>
      <c r="E269" s="502"/>
      <c r="F269" s="502"/>
      <c r="G269" s="502"/>
      <c r="H269" s="502"/>
      <c r="I269" s="502"/>
      <c r="J269" s="502"/>
    </row>
    <row r="270" spans="1:11" x14ac:dyDescent="0.2">
      <c r="A270" s="46" t="s">
        <v>191</v>
      </c>
      <c r="B270" s="34"/>
      <c r="C270" s="34"/>
      <c r="D270" s="34"/>
      <c r="E270" s="34"/>
      <c r="F270" s="34"/>
      <c r="G270" s="34"/>
      <c r="H270" s="34"/>
      <c r="I270" s="34"/>
      <c r="J270" s="34"/>
    </row>
    <row r="271" spans="1:11" x14ac:dyDescent="0.2">
      <c r="A271" s="139" t="s">
        <v>155</v>
      </c>
      <c r="B271" s="126">
        <f t="shared" ref="B271:J271" si="79">ROUND(B235+B241+B247+B256,0)</f>
        <v>36500</v>
      </c>
      <c r="C271" s="126">
        <f t="shared" si="79"/>
        <v>0</v>
      </c>
      <c r="D271" s="126">
        <f t="shared" si="79"/>
        <v>0</v>
      </c>
      <c r="E271" s="126">
        <f t="shared" si="79"/>
        <v>0</v>
      </c>
      <c r="F271" s="126">
        <f t="shared" si="79"/>
        <v>0</v>
      </c>
      <c r="G271" s="126">
        <f t="shared" si="79"/>
        <v>0</v>
      </c>
      <c r="H271" s="126">
        <f t="shared" si="79"/>
        <v>0</v>
      </c>
      <c r="I271" s="126">
        <f t="shared" si="79"/>
        <v>0</v>
      </c>
      <c r="J271" s="82">
        <f t="shared" si="79"/>
        <v>0</v>
      </c>
    </row>
    <row r="272" spans="1:11" x14ac:dyDescent="0.2">
      <c r="A272" s="155" t="s">
        <v>154</v>
      </c>
      <c r="B272" s="126">
        <f t="shared" ref="B272:J272" si="80">ROUND(B259+B250+B244+B238,0)</f>
        <v>69350</v>
      </c>
      <c r="C272" s="126">
        <f t="shared" si="80"/>
        <v>105850</v>
      </c>
      <c r="D272" s="126">
        <f t="shared" si="80"/>
        <v>105850</v>
      </c>
      <c r="E272" s="126">
        <f t="shared" si="80"/>
        <v>137050</v>
      </c>
      <c r="F272" s="126">
        <f t="shared" si="80"/>
        <v>137050</v>
      </c>
      <c r="G272" s="126">
        <f t="shared" si="80"/>
        <v>137050</v>
      </c>
      <c r="H272" s="126">
        <f t="shared" si="80"/>
        <v>219000</v>
      </c>
      <c r="I272" s="126">
        <f t="shared" si="80"/>
        <v>224475</v>
      </c>
      <c r="J272" s="82">
        <f t="shared" si="80"/>
        <v>228125</v>
      </c>
    </row>
    <row r="273" spans="1:10" x14ac:dyDescent="0.2">
      <c r="A273" s="155" t="s">
        <v>156</v>
      </c>
      <c r="B273" s="126">
        <f t="shared" ref="B273:J273" si="81">ROUND(B260+B251+B245+B239,0)</f>
        <v>3176</v>
      </c>
      <c r="C273" s="126">
        <f t="shared" si="81"/>
        <v>5024</v>
      </c>
      <c r="D273" s="126">
        <f t="shared" si="81"/>
        <v>5024</v>
      </c>
      <c r="E273" s="126">
        <f t="shared" si="81"/>
        <v>13986</v>
      </c>
      <c r="F273" s="126">
        <f t="shared" si="81"/>
        <v>13986</v>
      </c>
      <c r="G273" s="126">
        <f t="shared" si="81"/>
        <v>13986</v>
      </c>
      <c r="H273" s="126">
        <f t="shared" si="81"/>
        <v>15752</v>
      </c>
      <c r="I273" s="126">
        <f t="shared" si="81"/>
        <v>18036</v>
      </c>
      <c r="J273" s="82">
        <f t="shared" si="81"/>
        <v>22783</v>
      </c>
    </row>
    <row r="274" spans="1:10" x14ac:dyDescent="0.2">
      <c r="A274" s="139" t="s">
        <v>157</v>
      </c>
      <c r="B274" s="126">
        <f t="shared" ref="B274:J274" si="82">ROUND(SUM(B271:B272)*B262,0)</f>
        <v>15878</v>
      </c>
      <c r="C274" s="126">
        <f t="shared" si="82"/>
        <v>15878</v>
      </c>
      <c r="D274" s="126">
        <f t="shared" si="82"/>
        <v>15878</v>
      </c>
      <c r="E274" s="126">
        <f t="shared" si="82"/>
        <v>20558</v>
      </c>
      <c r="F274" s="126">
        <f t="shared" si="82"/>
        <v>20558</v>
      </c>
      <c r="G274" s="126">
        <f t="shared" si="82"/>
        <v>20558</v>
      </c>
      <c r="H274" s="126">
        <f t="shared" si="82"/>
        <v>32850</v>
      </c>
      <c r="I274" s="126">
        <f t="shared" si="82"/>
        <v>33671</v>
      </c>
      <c r="J274" s="82">
        <f t="shared" si="82"/>
        <v>34219</v>
      </c>
    </row>
    <row r="275" spans="1:10" x14ac:dyDescent="0.2">
      <c r="A275" s="125" t="s">
        <v>158</v>
      </c>
      <c r="B275" s="126">
        <f>SUM(B271:B274)</f>
        <v>124904</v>
      </c>
      <c r="C275" s="126">
        <f t="shared" ref="C275:J275" si="83">SUM(C271:C274)</f>
        <v>126752</v>
      </c>
      <c r="D275" s="126">
        <f t="shared" si="83"/>
        <v>126752</v>
      </c>
      <c r="E275" s="126">
        <f t="shared" si="83"/>
        <v>171594</v>
      </c>
      <c r="F275" s="126">
        <f t="shared" si="83"/>
        <v>171594</v>
      </c>
      <c r="G275" s="126">
        <f t="shared" si="83"/>
        <v>171594</v>
      </c>
      <c r="H275" s="126">
        <f t="shared" si="83"/>
        <v>267602</v>
      </c>
      <c r="I275" s="126">
        <f t="shared" si="83"/>
        <v>276182</v>
      </c>
      <c r="J275" s="82">
        <f t="shared" si="83"/>
        <v>285127</v>
      </c>
    </row>
    <row r="276" spans="1:10" x14ac:dyDescent="0.2">
      <c r="A276" s="26" t="s">
        <v>89</v>
      </c>
    </row>
    <row r="277" spans="1:10" x14ac:dyDescent="0.2">
      <c r="A277" s="154" t="s">
        <v>88</v>
      </c>
      <c r="B277" s="128"/>
      <c r="C277" s="128"/>
      <c r="D277" s="128"/>
      <c r="E277" s="128"/>
      <c r="F277" s="128"/>
      <c r="G277" s="128"/>
      <c r="H277" s="128"/>
      <c r="I277" s="128"/>
      <c r="J277" s="72"/>
    </row>
    <row r="278" spans="1:10" x14ac:dyDescent="0.2">
      <c r="A278" s="139" t="s">
        <v>91</v>
      </c>
      <c r="B278" s="171">
        <v>0</v>
      </c>
      <c r="C278" s="171">
        <v>0</v>
      </c>
      <c r="D278" s="171">
        <v>0</v>
      </c>
      <c r="E278" s="171">
        <v>0</v>
      </c>
      <c r="F278" s="171">
        <v>45000</v>
      </c>
      <c r="G278" s="171">
        <v>50000</v>
      </c>
      <c r="H278" s="171">
        <v>60000</v>
      </c>
      <c r="I278" s="171">
        <v>65000</v>
      </c>
      <c r="J278" s="172">
        <v>65000</v>
      </c>
    </row>
    <row r="279" spans="1:10" x14ac:dyDescent="0.2">
      <c r="A279" s="139" t="s">
        <v>207</v>
      </c>
      <c r="B279" s="146">
        <f t="shared" ref="B279:J279" si="84">ROUND(B278*B262,0)</f>
        <v>0</v>
      </c>
      <c r="C279" s="146">
        <f t="shared" si="84"/>
        <v>0</v>
      </c>
      <c r="D279" s="146">
        <f t="shared" si="84"/>
        <v>0</v>
      </c>
      <c r="E279" s="146">
        <f t="shared" si="84"/>
        <v>0</v>
      </c>
      <c r="F279" s="146">
        <f t="shared" si="84"/>
        <v>6750</v>
      </c>
      <c r="G279" s="146">
        <f t="shared" si="84"/>
        <v>7500</v>
      </c>
      <c r="H279" s="146">
        <f t="shared" si="84"/>
        <v>9000</v>
      </c>
      <c r="I279" s="146">
        <f t="shared" si="84"/>
        <v>9750</v>
      </c>
      <c r="J279" s="147">
        <f t="shared" si="84"/>
        <v>9750</v>
      </c>
    </row>
    <row r="280" spans="1:10" x14ac:dyDescent="0.2">
      <c r="A280" s="154" t="s">
        <v>497</v>
      </c>
      <c r="B280" s="146">
        <f>ROUND(B278+B279,0)</f>
        <v>0</v>
      </c>
      <c r="C280" s="146">
        <f t="shared" ref="C280:J280" si="85">ROUND(C278+C279,0)</f>
        <v>0</v>
      </c>
      <c r="D280" s="146">
        <f t="shared" si="85"/>
        <v>0</v>
      </c>
      <c r="E280" s="146">
        <f t="shared" si="85"/>
        <v>0</v>
      </c>
      <c r="F280" s="146">
        <f t="shared" si="85"/>
        <v>51750</v>
      </c>
      <c r="G280" s="146">
        <f t="shared" si="85"/>
        <v>57500</v>
      </c>
      <c r="H280" s="146">
        <f t="shared" si="85"/>
        <v>69000</v>
      </c>
      <c r="I280" s="146">
        <f t="shared" si="85"/>
        <v>74750</v>
      </c>
      <c r="J280" s="147">
        <f t="shared" si="85"/>
        <v>74750</v>
      </c>
    </row>
    <row r="281" spans="1:10" x14ac:dyDescent="0.2">
      <c r="A281" s="36" t="s">
        <v>55</v>
      </c>
    </row>
    <row r="282" spans="1:10" x14ac:dyDescent="0.2">
      <c r="A282" s="199" t="s">
        <v>90</v>
      </c>
      <c r="B282" s="67"/>
      <c r="C282" s="67"/>
      <c r="D282" s="67"/>
      <c r="E282" s="67"/>
      <c r="F282" s="67"/>
      <c r="G282" s="67"/>
      <c r="H282" s="67"/>
      <c r="I282" s="67"/>
      <c r="J282" s="67"/>
    </row>
    <row r="283" spans="1:10" x14ac:dyDescent="0.2">
      <c r="A283" s="139" t="s">
        <v>91</v>
      </c>
      <c r="B283" s="171">
        <v>35000</v>
      </c>
      <c r="C283" s="171">
        <v>35000</v>
      </c>
      <c r="D283" s="171">
        <v>35000</v>
      </c>
      <c r="E283" s="171">
        <v>35000</v>
      </c>
      <c r="F283" s="171">
        <v>0</v>
      </c>
      <c r="G283" s="171">
        <v>0</v>
      </c>
      <c r="H283" s="171">
        <v>0</v>
      </c>
      <c r="I283" s="171">
        <v>0</v>
      </c>
      <c r="J283" s="172">
        <v>0</v>
      </c>
    </row>
    <row r="284" spans="1:10" x14ac:dyDescent="0.2">
      <c r="A284" s="139" t="s">
        <v>92</v>
      </c>
      <c r="B284" s="169">
        <v>0.1</v>
      </c>
      <c r="C284" s="169">
        <v>0.25</v>
      </c>
      <c r="D284" s="169">
        <v>0.4</v>
      </c>
      <c r="E284" s="169">
        <v>0.7</v>
      </c>
      <c r="F284" s="169">
        <v>0</v>
      </c>
      <c r="G284" s="169">
        <v>0</v>
      </c>
      <c r="H284" s="169">
        <v>0</v>
      </c>
      <c r="I284" s="169">
        <v>0</v>
      </c>
      <c r="J284" s="170">
        <v>0</v>
      </c>
    </row>
    <row r="285" spans="1:10" x14ac:dyDescent="0.2">
      <c r="A285" s="139" t="s">
        <v>93</v>
      </c>
      <c r="B285" s="126">
        <f t="shared" ref="B285:J285" si="86">ROUND(B283*B284,0)</f>
        <v>3500</v>
      </c>
      <c r="C285" s="126">
        <f t="shared" si="86"/>
        <v>8750</v>
      </c>
      <c r="D285" s="126">
        <f t="shared" si="86"/>
        <v>14000</v>
      </c>
      <c r="E285" s="126">
        <f t="shared" si="86"/>
        <v>24500</v>
      </c>
      <c r="F285" s="126">
        <f t="shared" si="86"/>
        <v>0</v>
      </c>
      <c r="G285" s="126">
        <f t="shared" si="86"/>
        <v>0</v>
      </c>
      <c r="H285" s="126">
        <f t="shared" si="86"/>
        <v>0</v>
      </c>
      <c r="I285" s="126">
        <f t="shared" si="86"/>
        <v>0</v>
      </c>
      <c r="J285" s="82">
        <f t="shared" si="86"/>
        <v>0</v>
      </c>
    </row>
    <row r="286" spans="1:10" x14ac:dyDescent="0.2">
      <c r="A286" s="139" t="s">
        <v>207</v>
      </c>
      <c r="B286" s="126">
        <f t="shared" ref="B286:J286" si="87">ROUND((B285)*B262,0)</f>
        <v>525</v>
      </c>
      <c r="C286" s="126">
        <f t="shared" si="87"/>
        <v>1313</v>
      </c>
      <c r="D286" s="126">
        <f t="shared" si="87"/>
        <v>2100</v>
      </c>
      <c r="E286" s="126">
        <f t="shared" si="87"/>
        <v>3675</v>
      </c>
      <c r="F286" s="126">
        <f t="shared" si="87"/>
        <v>0</v>
      </c>
      <c r="G286" s="126">
        <f t="shared" si="87"/>
        <v>0</v>
      </c>
      <c r="H286" s="126">
        <f t="shared" si="87"/>
        <v>0</v>
      </c>
      <c r="I286" s="126">
        <f t="shared" si="87"/>
        <v>0</v>
      </c>
      <c r="J286" s="82">
        <f t="shared" si="87"/>
        <v>0</v>
      </c>
    </row>
    <row r="287" spans="1:10" x14ac:dyDescent="0.2">
      <c r="A287" s="125" t="s">
        <v>498</v>
      </c>
      <c r="B287" s="126">
        <f>ROUND(B285+B286,0)</f>
        <v>4025</v>
      </c>
      <c r="C287" s="126">
        <f t="shared" ref="C287:J287" si="88">ROUND(C285+C286,0)</f>
        <v>10063</v>
      </c>
      <c r="D287" s="126">
        <f t="shared" si="88"/>
        <v>16100</v>
      </c>
      <c r="E287" s="126">
        <f t="shared" si="88"/>
        <v>28175</v>
      </c>
      <c r="F287" s="126">
        <f t="shared" si="88"/>
        <v>0</v>
      </c>
      <c r="G287" s="126">
        <f t="shared" si="88"/>
        <v>0</v>
      </c>
      <c r="H287" s="126">
        <f t="shared" si="88"/>
        <v>0</v>
      </c>
      <c r="I287" s="126">
        <f t="shared" si="88"/>
        <v>0</v>
      </c>
      <c r="J287" s="82">
        <f t="shared" si="88"/>
        <v>0</v>
      </c>
    </row>
    <row r="288" spans="1:10" x14ac:dyDescent="0.2">
      <c r="A288" s="125" t="s">
        <v>499</v>
      </c>
      <c r="B288" s="126">
        <f>ROUND(B280+B287,0)</f>
        <v>4025</v>
      </c>
      <c r="C288" s="126">
        <f t="shared" ref="C288:J288" si="89">ROUND(C280+C287,0)</f>
        <v>10063</v>
      </c>
      <c r="D288" s="126">
        <f t="shared" si="89"/>
        <v>16100</v>
      </c>
      <c r="E288" s="126">
        <f t="shared" si="89"/>
        <v>28175</v>
      </c>
      <c r="F288" s="126">
        <f t="shared" si="89"/>
        <v>51750</v>
      </c>
      <c r="G288" s="126">
        <f t="shared" si="89"/>
        <v>57500</v>
      </c>
      <c r="H288" s="126">
        <f t="shared" si="89"/>
        <v>69000</v>
      </c>
      <c r="I288" s="126">
        <f t="shared" si="89"/>
        <v>74750</v>
      </c>
      <c r="J288" s="82">
        <f t="shared" si="89"/>
        <v>74750</v>
      </c>
    </row>
    <row r="289" spans="1:11" s="124" customFormat="1" ht="7.5" customHeight="1" x14ac:dyDescent="0.2">
      <c r="A289" s="36"/>
      <c r="B289" s="34"/>
      <c r="C289" s="34"/>
      <c r="D289" s="34"/>
      <c r="E289" s="34"/>
      <c r="F289" s="34"/>
      <c r="G289" s="34"/>
      <c r="H289" s="34"/>
      <c r="I289" s="34"/>
      <c r="J289" s="34"/>
    </row>
    <row r="290" spans="1:11" s="124" customFormat="1" x14ac:dyDescent="0.2">
      <c r="A290" s="502" t="s">
        <v>581</v>
      </c>
      <c r="B290" s="502"/>
      <c r="C290" s="502"/>
      <c r="D290" s="502"/>
      <c r="E290" s="502"/>
      <c r="F290" s="502"/>
      <c r="G290" s="502"/>
      <c r="H290" s="502"/>
      <c r="I290" s="502"/>
      <c r="J290" s="502"/>
    </row>
    <row r="291" spans="1:11" x14ac:dyDescent="0.2">
      <c r="A291" s="26" t="s">
        <v>143</v>
      </c>
      <c r="B291" s="34"/>
      <c r="C291" s="34"/>
      <c r="D291" s="34"/>
      <c r="E291" s="34"/>
      <c r="F291" s="34"/>
      <c r="G291" s="34"/>
      <c r="H291" s="34"/>
      <c r="I291" s="34"/>
      <c r="J291" s="34"/>
    </row>
    <row r="292" spans="1:11" ht="12.6" customHeight="1" x14ac:dyDescent="0.2">
      <c r="A292" s="67" t="s">
        <v>150</v>
      </c>
      <c r="B292" s="67"/>
      <c r="C292" s="67"/>
      <c r="D292" s="67"/>
      <c r="E292" s="67"/>
      <c r="F292" s="67"/>
      <c r="G292" s="67"/>
      <c r="H292" s="67"/>
      <c r="I292" s="67"/>
      <c r="J292" s="67"/>
    </row>
    <row r="293" spans="1:11" x14ac:dyDescent="0.2">
      <c r="A293" s="155" t="s">
        <v>149</v>
      </c>
      <c r="B293" s="171">
        <v>25000</v>
      </c>
      <c r="C293" s="171">
        <v>25000</v>
      </c>
      <c r="D293" s="171">
        <v>25000</v>
      </c>
      <c r="E293" s="171">
        <v>25000</v>
      </c>
      <c r="F293" s="171">
        <v>25000</v>
      </c>
      <c r="G293" s="171">
        <v>28000</v>
      </c>
      <c r="H293" s="171">
        <v>30000</v>
      </c>
      <c r="I293" s="171">
        <v>32000</v>
      </c>
      <c r="J293" s="172">
        <v>35000</v>
      </c>
    </row>
    <row r="294" spans="1:11" x14ac:dyDescent="0.2">
      <c r="A294" s="139" t="s">
        <v>148</v>
      </c>
      <c r="B294" s="200">
        <v>0.25</v>
      </c>
      <c r="C294" s="200">
        <v>0.4</v>
      </c>
      <c r="D294" s="200">
        <v>0.55000000000000004</v>
      </c>
      <c r="E294" s="200">
        <v>0.7</v>
      </c>
      <c r="F294" s="200">
        <v>1</v>
      </c>
      <c r="G294" s="200">
        <v>1</v>
      </c>
      <c r="H294" s="200">
        <v>1</v>
      </c>
      <c r="I294" s="200">
        <v>1</v>
      </c>
      <c r="J294" s="201">
        <v>1</v>
      </c>
    </row>
    <row r="295" spans="1:11" x14ac:dyDescent="0.2">
      <c r="A295" s="139" t="s">
        <v>151</v>
      </c>
      <c r="B295" s="126">
        <f>ROUND(B293*B294,0)</f>
        <v>6250</v>
      </c>
      <c r="C295" s="126">
        <f t="shared" ref="C295:J295" si="90">ROUND(C293*C294,0)</f>
        <v>10000</v>
      </c>
      <c r="D295" s="126">
        <f t="shared" si="90"/>
        <v>13750</v>
      </c>
      <c r="E295" s="126">
        <f t="shared" si="90"/>
        <v>17500</v>
      </c>
      <c r="F295" s="126">
        <f t="shared" si="90"/>
        <v>25000</v>
      </c>
      <c r="G295" s="126">
        <f t="shared" si="90"/>
        <v>28000</v>
      </c>
      <c r="H295" s="126">
        <f t="shared" si="90"/>
        <v>30000</v>
      </c>
      <c r="I295" s="126">
        <f t="shared" si="90"/>
        <v>32000</v>
      </c>
      <c r="J295" s="82">
        <f t="shared" si="90"/>
        <v>35000</v>
      </c>
    </row>
    <row r="296" spans="1:11" x14ac:dyDescent="0.2">
      <c r="A296" s="36" t="s">
        <v>144</v>
      </c>
    </row>
    <row r="297" spans="1:11" x14ac:dyDescent="0.2">
      <c r="A297" s="139" t="s">
        <v>132</v>
      </c>
      <c r="B297" s="200">
        <f>ROUND(B262,3)</f>
        <v>0.15</v>
      </c>
      <c r="C297" s="200">
        <f t="shared" ref="C297:J297" si="91">ROUND(C262,3)</f>
        <v>0.15</v>
      </c>
      <c r="D297" s="200">
        <f t="shared" si="91"/>
        <v>0.15</v>
      </c>
      <c r="E297" s="200">
        <f t="shared" si="91"/>
        <v>0.15</v>
      </c>
      <c r="F297" s="200">
        <f t="shared" si="91"/>
        <v>0.15</v>
      </c>
      <c r="G297" s="200">
        <f t="shared" si="91"/>
        <v>0.15</v>
      </c>
      <c r="H297" s="200">
        <f t="shared" si="91"/>
        <v>0.15</v>
      </c>
      <c r="I297" s="200">
        <f t="shared" si="91"/>
        <v>0.15</v>
      </c>
      <c r="J297" s="201">
        <f t="shared" si="91"/>
        <v>0.15</v>
      </c>
    </row>
    <row r="298" spans="1:11" x14ac:dyDescent="0.2">
      <c r="A298" s="139" t="s">
        <v>152</v>
      </c>
      <c r="B298" s="126">
        <f>ROUND(B295*B297,0)</f>
        <v>938</v>
      </c>
      <c r="C298" s="126">
        <f t="shared" ref="C298:J298" si="92">ROUND(C295*C297,0)</f>
        <v>1500</v>
      </c>
      <c r="D298" s="126">
        <f t="shared" si="92"/>
        <v>2063</v>
      </c>
      <c r="E298" s="126">
        <f t="shared" si="92"/>
        <v>2625</v>
      </c>
      <c r="F298" s="126">
        <f t="shared" si="92"/>
        <v>3750</v>
      </c>
      <c r="G298" s="126">
        <f t="shared" si="92"/>
        <v>4200</v>
      </c>
      <c r="H298" s="126">
        <f t="shared" si="92"/>
        <v>4500</v>
      </c>
      <c r="I298" s="126">
        <f t="shared" si="92"/>
        <v>4800</v>
      </c>
      <c r="J298" s="82">
        <f t="shared" si="92"/>
        <v>5250</v>
      </c>
      <c r="K298" s="34"/>
    </row>
    <row r="299" spans="1:11" x14ac:dyDescent="0.2">
      <c r="A299" s="139" t="s">
        <v>145</v>
      </c>
      <c r="B299" s="171">
        <f>50*12</f>
        <v>600</v>
      </c>
      <c r="C299" s="171">
        <f>60*12</f>
        <v>720</v>
      </c>
      <c r="D299" s="171">
        <f>70*12</f>
        <v>840</v>
      </c>
      <c r="E299" s="171">
        <f>100*12</f>
        <v>1200</v>
      </c>
      <c r="F299" s="171">
        <f>120*12</f>
        <v>1440</v>
      </c>
      <c r="G299" s="171">
        <f>140*12</f>
        <v>1680</v>
      </c>
      <c r="H299" s="171">
        <f>160*12</f>
        <v>1920</v>
      </c>
      <c r="I299" s="171">
        <f>180*12</f>
        <v>2160</v>
      </c>
      <c r="J299" s="172">
        <f>200*12</f>
        <v>2400</v>
      </c>
    </row>
    <row r="300" spans="1:11" x14ac:dyDescent="0.2">
      <c r="A300" s="222" t="s">
        <v>594</v>
      </c>
      <c r="B300" s="223">
        <f>SUM(B295+B298+B299)</f>
        <v>7788</v>
      </c>
      <c r="C300" s="223">
        <f t="shared" ref="C300:J300" si="93">SUM(C295+C298+C299)</f>
        <v>12220</v>
      </c>
      <c r="D300" s="223">
        <f t="shared" si="93"/>
        <v>16653</v>
      </c>
      <c r="E300" s="223">
        <f t="shared" si="93"/>
        <v>21325</v>
      </c>
      <c r="F300" s="223">
        <f t="shared" si="93"/>
        <v>30190</v>
      </c>
      <c r="G300" s="223">
        <f t="shared" si="93"/>
        <v>33880</v>
      </c>
      <c r="H300" s="223">
        <f t="shared" si="93"/>
        <v>36420</v>
      </c>
      <c r="I300" s="223">
        <f t="shared" si="93"/>
        <v>38960</v>
      </c>
      <c r="J300" s="224">
        <f t="shared" si="93"/>
        <v>42650</v>
      </c>
    </row>
    <row r="301" spans="1:11" s="65" customFormat="1" x14ac:dyDescent="0.2">
      <c r="A301" s="226" t="s">
        <v>55</v>
      </c>
      <c r="B301" s="225"/>
      <c r="C301" s="225"/>
      <c r="D301" s="225"/>
      <c r="E301" s="225"/>
      <c r="F301" s="225"/>
      <c r="G301" s="225"/>
      <c r="H301" s="225"/>
      <c r="I301" s="225"/>
      <c r="J301" s="225"/>
    </row>
    <row r="302" spans="1:11" x14ac:dyDescent="0.2">
      <c r="A302" s="27" t="s">
        <v>192</v>
      </c>
    </row>
    <row r="303" spans="1:11" x14ac:dyDescent="0.2">
      <c r="A303" s="139" t="s">
        <v>146</v>
      </c>
      <c r="B303" s="202">
        <v>40</v>
      </c>
      <c r="C303" s="202">
        <v>40</v>
      </c>
      <c r="D303" s="202">
        <v>40</v>
      </c>
      <c r="E303" s="202">
        <v>40</v>
      </c>
      <c r="F303" s="202">
        <v>40</v>
      </c>
      <c r="G303" s="202">
        <v>40</v>
      </c>
      <c r="H303" s="202">
        <v>40</v>
      </c>
      <c r="I303" s="202">
        <v>40</v>
      </c>
      <c r="J303" s="203">
        <v>40</v>
      </c>
    </row>
    <row r="304" spans="1:11" x14ac:dyDescent="0.2">
      <c r="A304" s="222" t="s">
        <v>595</v>
      </c>
      <c r="B304" s="223">
        <f t="shared" ref="B304:J304" si="94">ROUND(B19*B303,0)</f>
        <v>10960</v>
      </c>
      <c r="C304" s="223">
        <f t="shared" si="94"/>
        <v>21920</v>
      </c>
      <c r="D304" s="223">
        <f t="shared" si="94"/>
        <v>32840</v>
      </c>
      <c r="E304" s="223">
        <f t="shared" si="94"/>
        <v>43800</v>
      </c>
      <c r="F304" s="223">
        <f t="shared" si="94"/>
        <v>54760</v>
      </c>
      <c r="G304" s="223">
        <f t="shared" si="94"/>
        <v>65720</v>
      </c>
      <c r="H304" s="223">
        <f t="shared" si="94"/>
        <v>71560</v>
      </c>
      <c r="I304" s="223">
        <f t="shared" si="94"/>
        <v>81760</v>
      </c>
      <c r="J304" s="224">
        <f t="shared" si="94"/>
        <v>92000</v>
      </c>
    </row>
    <row r="305" spans="1:13" x14ac:dyDescent="0.2">
      <c r="A305" s="69" t="s">
        <v>55</v>
      </c>
    </row>
    <row r="306" spans="1:13" x14ac:dyDescent="0.2">
      <c r="A306" s="139" t="s">
        <v>147</v>
      </c>
      <c r="B306" s="200">
        <v>0.35</v>
      </c>
      <c r="C306" s="200">
        <v>0.35</v>
      </c>
      <c r="D306" s="200">
        <v>0.35</v>
      </c>
      <c r="E306" s="200">
        <v>0.35</v>
      </c>
      <c r="F306" s="200">
        <v>0.35</v>
      </c>
      <c r="G306" s="200">
        <v>0.35</v>
      </c>
      <c r="H306" s="200">
        <v>0.35</v>
      </c>
      <c r="I306" s="200">
        <v>0.35</v>
      </c>
      <c r="J306" s="201">
        <v>0.35</v>
      </c>
    </row>
    <row r="307" spans="1:13" x14ac:dyDescent="0.2">
      <c r="A307" s="222" t="s">
        <v>596</v>
      </c>
      <c r="B307" s="223">
        <f>ROUND(B306*(SUM('10 EXS 1-9 Budgets'!B159:B168)),0)</f>
        <v>47511</v>
      </c>
      <c r="C307" s="223">
        <f>ROUND(C306*(SUM('10 EXS 1-9 Budgets'!C159:C168)),0)</f>
        <v>95023</v>
      </c>
      <c r="D307" s="223">
        <f>ROUND(D306*(SUM('10 EXS 1-9 Budgets'!D159:D168)),0)</f>
        <v>142373</v>
      </c>
      <c r="E307" s="223">
        <f>ROUND(E306*(SUM('10 EXS 1-9 Budgets'!E159:E168)),0)</f>
        <v>198465</v>
      </c>
      <c r="F307" s="223">
        <f>ROUND(F306*(SUM('10 EXS 1-9 Budgets'!F159:F168)),0)</f>
        <v>258362</v>
      </c>
      <c r="G307" s="223">
        <f>ROUND(G306*(SUM('10 EXS 1-9 Budgets'!G159:G168)),0)</f>
        <v>314853</v>
      </c>
      <c r="H307" s="223">
        <f>ROUND(H306*(SUM('10 EXS 1-9 Budgets'!H159:H168)),0)</f>
        <v>345989</v>
      </c>
      <c r="I307" s="223">
        <f>ROUND(I306*(SUM('10 EXS 1-9 Budgets'!I159:I168)),0)</f>
        <v>395303</v>
      </c>
      <c r="J307" s="224">
        <f>ROUND(J306*(SUM('10 EXS 1-9 Budgets'!J159:J168)),0)</f>
        <v>444808</v>
      </c>
    </row>
    <row r="308" spans="1:13" x14ac:dyDescent="0.2">
      <c r="A308" s="229" t="s">
        <v>531</v>
      </c>
      <c r="B308" s="179">
        <f>B304</f>
        <v>10960</v>
      </c>
      <c r="C308" s="179">
        <f t="shared" ref="C308:J308" si="95">C304</f>
        <v>21920</v>
      </c>
      <c r="D308" s="179">
        <f t="shared" si="95"/>
        <v>32840</v>
      </c>
      <c r="E308" s="179">
        <f t="shared" si="95"/>
        <v>43800</v>
      </c>
      <c r="F308" s="179">
        <f t="shared" si="95"/>
        <v>54760</v>
      </c>
      <c r="G308" s="179">
        <f t="shared" si="95"/>
        <v>65720</v>
      </c>
      <c r="H308" s="179">
        <f t="shared" si="95"/>
        <v>71560</v>
      </c>
      <c r="I308" s="179">
        <f t="shared" si="95"/>
        <v>81760</v>
      </c>
      <c r="J308" s="180">
        <f t="shared" si="95"/>
        <v>92000</v>
      </c>
    </row>
    <row r="309" spans="1:13" x14ac:dyDescent="0.2">
      <c r="A309" s="47" t="s">
        <v>171</v>
      </c>
      <c r="B309" s="34"/>
      <c r="C309" s="34"/>
      <c r="D309" s="34"/>
      <c r="E309" s="34"/>
      <c r="F309" s="34"/>
      <c r="G309" s="34"/>
      <c r="H309" s="34"/>
      <c r="I309" s="34"/>
      <c r="J309" s="34"/>
    </row>
    <row r="310" spans="1:13" x14ac:dyDescent="0.2">
      <c r="A310" s="155" t="s">
        <v>173</v>
      </c>
      <c r="B310" s="171">
        <v>0</v>
      </c>
      <c r="C310" s="171">
        <v>0</v>
      </c>
      <c r="D310" s="171">
        <v>0</v>
      </c>
      <c r="E310" s="171">
        <v>0</v>
      </c>
      <c r="F310" s="171">
        <v>0</v>
      </c>
      <c r="G310" s="171">
        <v>0</v>
      </c>
      <c r="H310" s="171">
        <v>0</v>
      </c>
      <c r="I310" s="171">
        <v>0</v>
      </c>
      <c r="J310" s="172">
        <v>0</v>
      </c>
      <c r="K310" s="34"/>
    </row>
    <row r="311" spans="1:13" x14ac:dyDescent="0.2">
      <c r="A311" s="155" t="s">
        <v>165</v>
      </c>
      <c r="B311" s="171">
        <v>1600</v>
      </c>
      <c r="C311" s="171">
        <v>1600</v>
      </c>
      <c r="D311" s="171">
        <v>1600</v>
      </c>
      <c r="E311" s="171">
        <v>1800</v>
      </c>
      <c r="F311" s="171">
        <v>1800</v>
      </c>
      <c r="G311" s="171">
        <v>1800</v>
      </c>
      <c r="H311" s="171">
        <v>1800</v>
      </c>
      <c r="I311" s="171">
        <v>1800</v>
      </c>
      <c r="J311" s="172">
        <v>1800</v>
      </c>
      <c r="M311" s="467" t="s">
        <v>536</v>
      </c>
    </row>
    <row r="312" spans="1:13" x14ac:dyDescent="0.2">
      <c r="A312" s="155" t="s">
        <v>159</v>
      </c>
      <c r="B312" s="171">
        <v>0</v>
      </c>
      <c r="C312" s="171">
        <v>0</v>
      </c>
      <c r="D312" s="171">
        <v>0</v>
      </c>
      <c r="E312" s="171">
        <v>0</v>
      </c>
      <c r="F312" s="171">
        <v>0</v>
      </c>
      <c r="G312" s="171">
        <v>0</v>
      </c>
      <c r="H312" s="171">
        <v>0</v>
      </c>
      <c r="I312" s="171">
        <v>0</v>
      </c>
      <c r="J312" s="172">
        <v>700</v>
      </c>
    </row>
    <row r="313" spans="1:13" x14ac:dyDescent="0.2">
      <c r="A313" s="155" t="s">
        <v>160</v>
      </c>
      <c r="B313" s="171">
        <f>ROUND(100*12,0)</f>
        <v>1200</v>
      </c>
      <c r="C313" s="171">
        <f t="shared" ref="C313:J313" si="96">ROUND(100*12,0)</f>
        <v>1200</v>
      </c>
      <c r="D313" s="171">
        <f t="shared" si="96"/>
        <v>1200</v>
      </c>
      <c r="E313" s="171">
        <f t="shared" si="96"/>
        <v>1200</v>
      </c>
      <c r="F313" s="171">
        <f t="shared" si="96"/>
        <v>1200</v>
      </c>
      <c r="G313" s="171">
        <f t="shared" si="96"/>
        <v>1200</v>
      </c>
      <c r="H313" s="171">
        <f t="shared" si="96"/>
        <v>1200</v>
      </c>
      <c r="I313" s="171">
        <f t="shared" si="96"/>
        <v>1200</v>
      </c>
      <c r="J313" s="172">
        <f t="shared" si="96"/>
        <v>1200</v>
      </c>
    </row>
    <row r="314" spans="1:13" x14ac:dyDescent="0.2">
      <c r="A314" s="155" t="s">
        <v>161</v>
      </c>
      <c r="B314" s="171">
        <v>1200</v>
      </c>
      <c r="C314" s="171">
        <v>1200</v>
      </c>
      <c r="D314" s="171">
        <v>1200</v>
      </c>
      <c r="E314" s="171">
        <v>1200</v>
      </c>
      <c r="F314" s="171">
        <v>1200</v>
      </c>
      <c r="G314" s="171">
        <v>1200</v>
      </c>
      <c r="H314" s="171">
        <v>1200</v>
      </c>
      <c r="I314" s="171">
        <v>1200</v>
      </c>
      <c r="J314" s="172">
        <v>1200</v>
      </c>
    </row>
    <row r="315" spans="1:13" x14ac:dyDescent="0.2">
      <c r="A315" s="156" t="s">
        <v>190</v>
      </c>
      <c r="B315" s="126">
        <f t="shared" ref="B315:J315" si="97">SUM(B310:B314)</f>
        <v>4000</v>
      </c>
      <c r="C315" s="126">
        <f t="shared" si="97"/>
        <v>4000</v>
      </c>
      <c r="D315" s="126">
        <f t="shared" si="97"/>
        <v>4000</v>
      </c>
      <c r="E315" s="126">
        <f t="shared" si="97"/>
        <v>4200</v>
      </c>
      <c r="F315" s="126">
        <f t="shared" si="97"/>
        <v>4200</v>
      </c>
      <c r="G315" s="126">
        <f t="shared" si="97"/>
        <v>4200</v>
      </c>
      <c r="H315" s="126">
        <f t="shared" si="97"/>
        <v>4200</v>
      </c>
      <c r="I315" s="126">
        <f t="shared" si="97"/>
        <v>4200</v>
      </c>
      <c r="J315" s="82">
        <f t="shared" si="97"/>
        <v>4900</v>
      </c>
    </row>
    <row r="316" spans="1:13" x14ac:dyDescent="0.2">
      <c r="A316" s="47" t="s">
        <v>172</v>
      </c>
      <c r="B316" s="34"/>
      <c r="C316" s="34"/>
      <c r="D316" s="34"/>
      <c r="E316" s="34"/>
      <c r="F316" s="34"/>
      <c r="G316" s="34"/>
      <c r="H316" s="34"/>
      <c r="I316" s="34"/>
      <c r="J316" s="34"/>
    </row>
    <row r="317" spans="1:13" x14ac:dyDescent="0.2">
      <c r="A317" s="155" t="s">
        <v>173</v>
      </c>
      <c r="B317" s="171">
        <v>0</v>
      </c>
      <c r="C317" s="171">
        <v>0</v>
      </c>
      <c r="D317" s="171">
        <v>0</v>
      </c>
      <c r="E317" s="171">
        <v>0</v>
      </c>
      <c r="F317" s="171">
        <v>0</v>
      </c>
      <c r="G317" s="171">
        <v>0</v>
      </c>
      <c r="H317" s="171">
        <v>0</v>
      </c>
      <c r="I317" s="171">
        <v>0</v>
      </c>
      <c r="J317" s="172">
        <v>0</v>
      </c>
      <c r="K317" s="34"/>
    </row>
    <row r="318" spans="1:13" x14ac:dyDescent="0.2">
      <c r="A318" s="155" t="s">
        <v>165</v>
      </c>
      <c r="B318" s="171">
        <v>0</v>
      </c>
      <c r="C318" s="171">
        <v>0</v>
      </c>
      <c r="D318" s="171">
        <v>0</v>
      </c>
      <c r="E318" s="171">
        <v>0</v>
      </c>
      <c r="F318" s="171">
        <v>0</v>
      </c>
      <c r="G318" s="171">
        <v>0</v>
      </c>
      <c r="H318" s="171">
        <v>1800</v>
      </c>
      <c r="I318" s="171">
        <v>1800</v>
      </c>
      <c r="J318" s="172">
        <v>1800</v>
      </c>
    </row>
    <row r="319" spans="1:13" x14ac:dyDescent="0.2">
      <c r="A319" s="155" t="s">
        <v>159</v>
      </c>
      <c r="B319" s="171">
        <v>0</v>
      </c>
      <c r="C319" s="171">
        <v>0</v>
      </c>
      <c r="D319" s="171">
        <v>0</v>
      </c>
      <c r="E319" s="171">
        <v>0</v>
      </c>
      <c r="F319" s="171">
        <v>0</v>
      </c>
      <c r="G319" s="171">
        <v>0</v>
      </c>
      <c r="H319" s="171">
        <v>0</v>
      </c>
      <c r="I319" s="171">
        <v>0</v>
      </c>
      <c r="J319" s="172">
        <v>700</v>
      </c>
    </row>
    <row r="320" spans="1:13" x14ac:dyDescent="0.2">
      <c r="A320" s="155" t="s">
        <v>160</v>
      </c>
      <c r="B320" s="171">
        <v>0</v>
      </c>
      <c r="C320" s="171">
        <v>0</v>
      </c>
      <c r="D320" s="171">
        <v>0</v>
      </c>
      <c r="E320" s="171">
        <v>0</v>
      </c>
      <c r="F320" s="171">
        <v>0</v>
      </c>
      <c r="G320" s="171">
        <v>0</v>
      </c>
      <c r="H320" s="171">
        <f>ROUND(100*12,0)</f>
        <v>1200</v>
      </c>
      <c r="I320" s="171">
        <f>ROUND(100*12,0)</f>
        <v>1200</v>
      </c>
      <c r="J320" s="172">
        <f>ROUND(100*12,0)</f>
        <v>1200</v>
      </c>
    </row>
    <row r="321" spans="1:10" x14ac:dyDescent="0.2">
      <c r="A321" s="155" t="s">
        <v>161</v>
      </c>
      <c r="B321" s="171">
        <v>0</v>
      </c>
      <c r="C321" s="171">
        <v>0</v>
      </c>
      <c r="D321" s="171">
        <v>0</v>
      </c>
      <c r="E321" s="171">
        <v>0</v>
      </c>
      <c r="F321" s="171">
        <v>0</v>
      </c>
      <c r="G321" s="171">
        <v>0</v>
      </c>
      <c r="H321" s="171">
        <v>1200</v>
      </c>
      <c r="I321" s="171">
        <v>1200</v>
      </c>
      <c r="J321" s="172">
        <v>1200</v>
      </c>
    </row>
    <row r="322" spans="1:10" x14ac:dyDescent="0.2">
      <c r="A322" s="156" t="s">
        <v>189</v>
      </c>
      <c r="B322" s="126">
        <f>SUM(B317:B321)</f>
        <v>0</v>
      </c>
      <c r="C322" s="126">
        <f t="shared" ref="C322:J322" si="98">SUM(C317:C321)</f>
        <v>0</v>
      </c>
      <c r="D322" s="126">
        <f t="shared" si="98"/>
        <v>0</v>
      </c>
      <c r="E322" s="126">
        <f t="shared" si="98"/>
        <v>0</v>
      </c>
      <c r="F322" s="126">
        <f t="shared" si="98"/>
        <v>0</v>
      </c>
      <c r="G322" s="126">
        <f t="shared" si="98"/>
        <v>0</v>
      </c>
      <c r="H322" s="126">
        <f t="shared" si="98"/>
        <v>4200</v>
      </c>
      <c r="I322" s="126">
        <f t="shared" si="98"/>
        <v>4200</v>
      </c>
      <c r="J322" s="82">
        <f t="shared" si="98"/>
        <v>4900</v>
      </c>
    </row>
    <row r="323" spans="1:10" s="455" customFormat="1" x14ac:dyDescent="0.2">
      <c r="A323" s="36"/>
      <c r="B323" s="34"/>
      <c r="C323" s="34"/>
      <c r="D323" s="34"/>
      <c r="E323" s="34"/>
      <c r="F323" s="34"/>
      <c r="G323" s="34"/>
      <c r="H323" s="34"/>
      <c r="I323" s="34"/>
      <c r="J323" s="34"/>
    </row>
    <row r="324" spans="1:10" s="455" customFormat="1" x14ac:dyDescent="0.2">
      <c r="A324" s="502" t="s">
        <v>582</v>
      </c>
      <c r="B324" s="502"/>
      <c r="C324" s="502"/>
      <c r="D324" s="502"/>
      <c r="E324" s="502"/>
      <c r="F324" s="502"/>
      <c r="G324" s="502"/>
      <c r="H324" s="502"/>
      <c r="I324" s="502"/>
      <c r="J324" s="502"/>
    </row>
    <row r="325" spans="1:10" x14ac:dyDescent="0.2">
      <c r="A325" s="49" t="s">
        <v>176</v>
      </c>
    </row>
    <row r="326" spans="1:10" x14ac:dyDescent="0.2">
      <c r="A326" s="155" t="s">
        <v>166</v>
      </c>
      <c r="B326" s="171">
        <f>150*1*12</f>
        <v>1800</v>
      </c>
      <c r="C326" s="171">
        <f>150*1*12</f>
        <v>1800</v>
      </c>
      <c r="D326" s="171">
        <f t="shared" ref="D326:J326" si="99">150*1*12</f>
        <v>1800</v>
      </c>
      <c r="E326" s="171">
        <f t="shared" si="99"/>
        <v>1800</v>
      </c>
      <c r="F326" s="171">
        <f t="shared" si="99"/>
        <v>1800</v>
      </c>
      <c r="G326" s="171">
        <f t="shared" si="99"/>
        <v>1800</v>
      </c>
      <c r="H326" s="171">
        <f t="shared" si="99"/>
        <v>1800</v>
      </c>
      <c r="I326" s="171">
        <f t="shared" si="99"/>
        <v>1800</v>
      </c>
      <c r="J326" s="172">
        <f t="shared" si="99"/>
        <v>1800</v>
      </c>
    </row>
    <row r="327" spans="1:10" x14ac:dyDescent="0.2">
      <c r="A327" s="155" t="s">
        <v>167</v>
      </c>
      <c r="B327" s="171">
        <f>300*1*12</f>
        <v>3600</v>
      </c>
      <c r="C327" s="171">
        <f t="shared" ref="C327:J327" si="100">300*1*12</f>
        <v>3600</v>
      </c>
      <c r="D327" s="171">
        <f t="shared" si="100"/>
        <v>3600</v>
      </c>
      <c r="E327" s="171">
        <f t="shared" si="100"/>
        <v>3600</v>
      </c>
      <c r="F327" s="171">
        <f t="shared" si="100"/>
        <v>3600</v>
      </c>
      <c r="G327" s="171">
        <f t="shared" si="100"/>
        <v>3600</v>
      </c>
      <c r="H327" s="171">
        <f t="shared" si="100"/>
        <v>3600</v>
      </c>
      <c r="I327" s="171">
        <f t="shared" si="100"/>
        <v>3600</v>
      </c>
      <c r="J327" s="172">
        <f t="shared" si="100"/>
        <v>3600</v>
      </c>
    </row>
    <row r="328" spans="1:10" x14ac:dyDescent="0.2">
      <c r="A328" s="155" t="s">
        <v>170</v>
      </c>
      <c r="B328" s="171">
        <f>(175)*12</f>
        <v>2100</v>
      </c>
      <c r="C328" s="171">
        <f t="shared" ref="C328:J328" si="101">(175)*12</f>
        <v>2100</v>
      </c>
      <c r="D328" s="171">
        <f t="shared" si="101"/>
        <v>2100</v>
      </c>
      <c r="E328" s="171">
        <f t="shared" si="101"/>
        <v>2100</v>
      </c>
      <c r="F328" s="171">
        <f t="shared" si="101"/>
        <v>2100</v>
      </c>
      <c r="G328" s="171">
        <f t="shared" si="101"/>
        <v>2100</v>
      </c>
      <c r="H328" s="171">
        <f t="shared" si="101"/>
        <v>2100</v>
      </c>
      <c r="I328" s="171">
        <f t="shared" si="101"/>
        <v>2100</v>
      </c>
      <c r="J328" s="172">
        <f t="shared" si="101"/>
        <v>2100</v>
      </c>
    </row>
    <row r="329" spans="1:10" x14ac:dyDescent="0.2">
      <c r="A329" s="155" t="s">
        <v>168</v>
      </c>
      <c r="B329" s="171">
        <f>75*1*12</f>
        <v>900</v>
      </c>
      <c r="C329" s="171">
        <f t="shared" ref="C329:J329" si="102">75*1*12</f>
        <v>900</v>
      </c>
      <c r="D329" s="171">
        <f t="shared" si="102"/>
        <v>900</v>
      </c>
      <c r="E329" s="171">
        <f t="shared" si="102"/>
        <v>900</v>
      </c>
      <c r="F329" s="171">
        <f t="shared" si="102"/>
        <v>900</v>
      </c>
      <c r="G329" s="171">
        <f t="shared" si="102"/>
        <v>900</v>
      </c>
      <c r="H329" s="171">
        <f t="shared" si="102"/>
        <v>900</v>
      </c>
      <c r="I329" s="171">
        <f t="shared" si="102"/>
        <v>900</v>
      </c>
      <c r="J329" s="172">
        <f t="shared" si="102"/>
        <v>900</v>
      </c>
    </row>
    <row r="330" spans="1:10" x14ac:dyDescent="0.2">
      <c r="A330" s="156" t="s">
        <v>169</v>
      </c>
      <c r="B330" s="126">
        <f>SUM(B326:B329)</f>
        <v>8400</v>
      </c>
      <c r="C330" s="126">
        <f t="shared" ref="C330:J330" si="103">SUM(C326:C329)</f>
        <v>8400</v>
      </c>
      <c r="D330" s="126">
        <f t="shared" si="103"/>
        <v>8400</v>
      </c>
      <c r="E330" s="126">
        <f t="shared" si="103"/>
        <v>8400</v>
      </c>
      <c r="F330" s="126">
        <f t="shared" si="103"/>
        <v>8400</v>
      </c>
      <c r="G330" s="126">
        <f t="shared" si="103"/>
        <v>8400</v>
      </c>
      <c r="H330" s="126">
        <f t="shared" si="103"/>
        <v>8400</v>
      </c>
      <c r="I330" s="126">
        <f t="shared" si="103"/>
        <v>8400</v>
      </c>
      <c r="J330" s="82">
        <f t="shared" si="103"/>
        <v>8400</v>
      </c>
    </row>
    <row r="331" spans="1:10" x14ac:dyDescent="0.2">
      <c r="A331" s="49" t="s">
        <v>175</v>
      </c>
    </row>
    <row r="332" spans="1:10" x14ac:dyDescent="0.2">
      <c r="A332" s="155" t="s">
        <v>166</v>
      </c>
      <c r="B332" s="171">
        <v>0</v>
      </c>
      <c r="C332" s="171">
        <v>0</v>
      </c>
      <c r="D332" s="171">
        <v>0</v>
      </c>
      <c r="E332" s="171">
        <v>0</v>
      </c>
      <c r="F332" s="171">
        <v>0</v>
      </c>
      <c r="G332" s="171">
        <v>0</v>
      </c>
      <c r="H332" s="171">
        <f>150*1*12</f>
        <v>1800</v>
      </c>
      <c r="I332" s="171">
        <f>150*1*12</f>
        <v>1800</v>
      </c>
      <c r="J332" s="172">
        <f>150*1*12</f>
        <v>1800</v>
      </c>
    </row>
    <row r="333" spans="1:10" x14ac:dyDescent="0.2">
      <c r="A333" s="155" t="s">
        <v>167</v>
      </c>
      <c r="B333" s="171">
        <v>0</v>
      </c>
      <c r="C333" s="171">
        <v>0</v>
      </c>
      <c r="D333" s="171">
        <v>0</v>
      </c>
      <c r="E333" s="171">
        <v>0</v>
      </c>
      <c r="F333" s="171">
        <v>0</v>
      </c>
      <c r="G333" s="171">
        <v>0</v>
      </c>
      <c r="H333" s="171">
        <f>300*1*12</f>
        <v>3600</v>
      </c>
      <c r="I333" s="171">
        <f>300*1*12</f>
        <v>3600</v>
      </c>
      <c r="J333" s="172">
        <f>300*1*12</f>
        <v>3600</v>
      </c>
    </row>
    <row r="334" spans="1:10" x14ac:dyDescent="0.2">
      <c r="A334" s="155" t="s">
        <v>170</v>
      </c>
      <c r="B334" s="171">
        <v>0</v>
      </c>
      <c r="C334" s="171">
        <v>0</v>
      </c>
      <c r="D334" s="171">
        <v>0</v>
      </c>
      <c r="E334" s="171">
        <v>0</v>
      </c>
      <c r="F334" s="171">
        <v>0</v>
      </c>
      <c r="G334" s="171">
        <v>0</v>
      </c>
      <c r="H334" s="171">
        <f>(175)*12</f>
        <v>2100</v>
      </c>
      <c r="I334" s="171">
        <f>(175)*12</f>
        <v>2100</v>
      </c>
      <c r="J334" s="172">
        <f>(175)*12</f>
        <v>2100</v>
      </c>
    </row>
    <row r="335" spans="1:10" x14ac:dyDescent="0.2">
      <c r="A335" s="155" t="s">
        <v>168</v>
      </c>
      <c r="B335" s="171">
        <v>0</v>
      </c>
      <c r="C335" s="171">
        <v>0</v>
      </c>
      <c r="D335" s="171">
        <v>0</v>
      </c>
      <c r="E335" s="171">
        <v>0</v>
      </c>
      <c r="F335" s="171">
        <v>0</v>
      </c>
      <c r="G335" s="171">
        <v>0</v>
      </c>
      <c r="H335" s="171">
        <f>75*1*12</f>
        <v>900</v>
      </c>
      <c r="I335" s="171">
        <f>75*1*12</f>
        <v>900</v>
      </c>
      <c r="J335" s="172">
        <f>75*1*12</f>
        <v>900</v>
      </c>
    </row>
    <row r="336" spans="1:10" x14ac:dyDescent="0.2">
      <c r="A336" s="156" t="s">
        <v>169</v>
      </c>
      <c r="B336" s="126">
        <f>SUM(B332:B335)</f>
        <v>0</v>
      </c>
      <c r="C336" s="126">
        <f t="shared" ref="C336:J336" si="104">SUM(C332:C335)</f>
        <v>0</v>
      </c>
      <c r="D336" s="126">
        <f t="shared" si="104"/>
        <v>0</v>
      </c>
      <c r="E336" s="126">
        <f t="shared" si="104"/>
        <v>0</v>
      </c>
      <c r="F336" s="126">
        <f t="shared" si="104"/>
        <v>0</v>
      </c>
      <c r="G336" s="126">
        <f t="shared" si="104"/>
        <v>0</v>
      </c>
      <c r="H336" s="126">
        <f>SUM(H332:H335)</f>
        <v>8400</v>
      </c>
      <c r="I336" s="126">
        <f t="shared" si="104"/>
        <v>8400</v>
      </c>
      <c r="J336" s="82">
        <f t="shared" si="104"/>
        <v>8400</v>
      </c>
    </row>
    <row r="337" spans="1:11" x14ac:dyDescent="0.2">
      <c r="A337" s="26" t="s">
        <v>162</v>
      </c>
    </row>
    <row r="338" spans="1:11" x14ac:dyDescent="0.2">
      <c r="A338" s="139" t="s">
        <v>163</v>
      </c>
      <c r="B338" s="171">
        <f>2000*(B67+B69+B71)</f>
        <v>4000</v>
      </c>
      <c r="C338" s="171">
        <f t="shared" ref="C338:J338" si="105">2000*(C67+C69+C71)</f>
        <v>4000</v>
      </c>
      <c r="D338" s="171">
        <f t="shared" si="105"/>
        <v>4000</v>
      </c>
      <c r="E338" s="171">
        <f t="shared" si="105"/>
        <v>6000</v>
      </c>
      <c r="F338" s="171">
        <f t="shared" si="105"/>
        <v>6000</v>
      </c>
      <c r="G338" s="171">
        <f t="shared" si="105"/>
        <v>6000</v>
      </c>
      <c r="H338" s="171">
        <f t="shared" si="105"/>
        <v>6000</v>
      </c>
      <c r="I338" s="171">
        <f t="shared" si="105"/>
        <v>6000</v>
      </c>
      <c r="J338" s="172">
        <f t="shared" si="105"/>
        <v>6000</v>
      </c>
      <c r="K338" s="34"/>
    </row>
    <row r="339" spans="1:11" x14ac:dyDescent="0.2">
      <c r="A339" s="45" t="s">
        <v>213</v>
      </c>
      <c r="B339" s="34"/>
      <c r="C339" s="34"/>
      <c r="D339" s="34"/>
      <c r="E339" s="34"/>
      <c r="F339" s="34"/>
      <c r="G339" s="34"/>
      <c r="H339" s="34"/>
      <c r="I339" s="34"/>
      <c r="J339" s="34"/>
    </row>
    <row r="340" spans="1:11" x14ac:dyDescent="0.2">
      <c r="A340" s="139" t="s">
        <v>215</v>
      </c>
      <c r="B340" s="135">
        <f>ROUND(B67+B69+B71,0)</f>
        <v>2</v>
      </c>
      <c r="C340" s="135">
        <f t="shared" ref="C340:J340" si="106">ROUND(C67+C69+C71,0)</f>
        <v>2</v>
      </c>
      <c r="D340" s="135">
        <f t="shared" si="106"/>
        <v>2</v>
      </c>
      <c r="E340" s="135">
        <f t="shared" si="106"/>
        <v>3</v>
      </c>
      <c r="F340" s="135">
        <f t="shared" si="106"/>
        <v>3</v>
      </c>
      <c r="G340" s="135">
        <f t="shared" si="106"/>
        <v>3</v>
      </c>
      <c r="H340" s="135">
        <f t="shared" si="106"/>
        <v>3</v>
      </c>
      <c r="I340" s="135">
        <f t="shared" si="106"/>
        <v>3</v>
      </c>
      <c r="J340" s="136">
        <f t="shared" si="106"/>
        <v>3</v>
      </c>
    </row>
    <row r="341" spans="1:11" x14ac:dyDescent="0.2">
      <c r="A341" s="139" t="s">
        <v>216</v>
      </c>
      <c r="B341" s="171">
        <f>ROUND(100,0)</f>
        <v>100</v>
      </c>
      <c r="C341" s="171">
        <f t="shared" ref="C341:J341" si="107">ROUND(100,0)</f>
        <v>100</v>
      </c>
      <c r="D341" s="171">
        <f t="shared" si="107"/>
        <v>100</v>
      </c>
      <c r="E341" s="171">
        <f t="shared" si="107"/>
        <v>100</v>
      </c>
      <c r="F341" s="171">
        <f t="shared" si="107"/>
        <v>100</v>
      </c>
      <c r="G341" s="171">
        <f t="shared" si="107"/>
        <v>100</v>
      </c>
      <c r="H341" s="171">
        <f t="shared" si="107"/>
        <v>100</v>
      </c>
      <c r="I341" s="171">
        <f t="shared" si="107"/>
        <v>100</v>
      </c>
      <c r="J341" s="172">
        <f t="shared" si="107"/>
        <v>100</v>
      </c>
    </row>
    <row r="342" spans="1:11" x14ac:dyDescent="0.2">
      <c r="A342" s="139" t="s">
        <v>217</v>
      </c>
      <c r="B342" s="126">
        <f>ROUND(B340*B341,0)</f>
        <v>200</v>
      </c>
      <c r="C342" s="126">
        <f t="shared" ref="C342:J342" si="108">ROUND(C340*C341,0)</f>
        <v>200</v>
      </c>
      <c r="D342" s="126">
        <f t="shared" si="108"/>
        <v>200</v>
      </c>
      <c r="E342" s="126">
        <f t="shared" si="108"/>
        <v>300</v>
      </c>
      <c r="F342" s="126">
        <f t="shared" si="108"/>
        <v>300</v>
      </c>
      <c r="G342" s="126">
        <f t="shared" si="108"/>
        <v>300</v>
      </c>
      <c r="H342" s="126">
        <f t="shared" si="108"/>
        <v>300</v>
      </c>
      <c r="I342" s="126">
        <f t="shared" si="108"/>
        <v>300</v>
      </c>
      <c r="J342" s="82">
        <f t="shared" si="108"/>
        <v>300</v>
      </c>
    </row>
    <row r="343" spans="1:11" x14ac:dyDescent="0.2">
      <c r="A343" s="139" t="s">
        <v>164</v>
      </c>
      <c r="B343" s="171">
        <f t="shared" ref="B343:J343" si="109">1750*(B67+B69+B71)</f>
        <v>3500</v>
      </c>
      <c r="C343" s="171">
        <f t="shared" si="109"/>
        <v>3500</v>
      </c>
      <c r="D343" s="171">
        <f t="shared" si="109"/>
        <v>3500</v>
      </c>
      <c r="E343" s="171">
        <f t="shared" si="109"/>
        <v>5250</v>
      </c>
      <c r="F343" s="171">
        <f t="shared" si="109"/>
        <v>5250</v>
      </c>
      <c r="G343" s="171">
        <f t="shared" si="109"/>
        <v>5250</v>
      </c>
      <c r="H343" s="171">
        <f t="shared" si="109"/>
        <v>5250</v>
      </c>
      <c r="I343" s="171">
        <f t="shared" si="109"/>
        <v>5250</v>
      </c>
      <c r="J343" s="172">
        <f t="shared" si="109"/>
        <v>5250</v>
      </c>
    </row>
    <row r="344" spans="1:11" x14ac:dyDescent="0.2">
      <c r="A344" s="139" t="s">
        <v>439</v>
      </c>
      <c r="B344" s="171">
        <f>ROUND(120,0)</f>
        <v>120</v>
      </c>
      <c r="C344" s="171">
        <f t="shared" ref="C344:J344" si="110">ROUND(120,0)</f>
        <v>120</v>
      </c>
      <c r="D344" s="171">
        <f t="shared" si="110"/>
        <v>120</v>
      </c>
      <c r="E344" s="171">
        <f t="shared" si="110"/>
        <v>120</v>
      </c>
      <c r="F344" s="171">
        <f t="shared" si="110"/>
        <v>120</v>
      </c>
      <c r="G344" s="171">
        <f t="shared" si="110"/>
        <v>120</v>
      </c>
      <c r="H344" s="171">
        <f t="shared" si="110"/>
        <v>120</v>
      </c>
      <c r="I344" s="171">
        <f t="shared" si="110"/>
        <v>120</v>
      </c>
      <c r="J344" s="172">
        <f t="shared" si="110"/>
        <v>120</v>
      </c>
    </row>
    <row r="345" spans="1:11" ht="25.5" x14ac:dyDescent="0.2">
      <c r="A345" s="155" t="s">
        <v>440</v>
      </c>
      <c r="B345" s="204">
        <f>ROUND(B31/3000,1)</f>
        <v>4.9000000000000004</v>
      </c>
      <c r="C345" s="204">
        <f t="shared" ref="C345:J345" si="111">ROUND(C31/3000,1)</f>
        <v>9.6999999999999993</v>
      </c>
      <c r="D345" s="204">
        <f t="shared" si="111"/>
        <v>14.6</v>
      </c>
      <c r="E345" s="204">
        <f t="shared" si="111"/>
        <v>19.5</v>
      </c>
      <c r="F345" s="204">
        <f t="shared" si="111"/>
        <v>24.3</v>
      </c>
      <c r="G345" s="204">
        <f t="shared" si="111"/>
        <v>29.2</v>
      </c>
      <c r="H345" s="204">
        <f t="shared" si="111"/>
        <v>34.1</v>
      </c>
      <c r="I345" s="204">
        <f t="shared" si="111"/>
        <v>38.9</v>
      </c>
      <c r="J345" s="205">
        <f t="shared" si="111"/>
        <v>43.8</v>
      </c>
    </row>
    <row r="346" spans="1:11" x14ac:dyDescent="0.2">
      <c r="A346" s="139" t="s">
        <v>438</v>
      </c>
      <c r="B346" s="146">
        <f t="shared" ref="B346:J346" si="112">ROUND(B344*B345,0)</f>
        <v>588</v>
      </c>
      <c r="C346" s="146">
        <f t="shared" si="112"/>
        <v>1164</v>
      </c>
      <c r="D346" s="146">
        <f t="shared" si="112"/>
        <v>1752</v>
      </c>
      <c r="E346" s="146">
        <f t="shared" si="112"/>
        <v>2340</v>
      </c>
      <c r="F346" s="146">
        <f t="shared" si="112"/>
        <v>2916</v>
      </c>
      <c r="G346" s="146">
        <f t="shared" si="112"/>
        <v>3504</v>
      </c>
      <c r="H346" s="146">
        <f t="shared" si="112"/>
        <v>4092</v>
      </c>
      <c r="I346" s="146">
        <f t="shared" si="112"/>
        <v>4668</v>
      </c>
      <c r="J346" s="147">
        <f t="shared" si="112"/>
        <v>5256</v>
      </c>
      <c r="K346" s="65"/>
    </row>
    <row r="347" spans="1:11" x14ac:dyDescent="0.2">
      <c r="A347" s="139" t="s">
        <v>435</v>
      </c>
      <c r="B347" s="171">
        <f>ROUND(1800,0)</f>
        <v>1800</v>
      </c>
      <c r="C347" s="171">
        <f t="shared" ref="C347:J347" si="113">ROUND(1800,0)</f>
        <v>1800</v>
      </c>
      <c r="D347" s="171">
        <f t="shared" si="113"/>
        <v>1800</v>
      </c>
      <c r="E347" s="171">
        <f t="shared" si="113"/>
        <v>1800</v>
      </c>
      <c r="F347" s="171">
        <f t="shared" si="113"/>
        <v>1800</v>
      </c>
      <c r="G347" s="171">
        <f t="shared" si="113"/>
        <v>1800</v>
      </c>
      <c r="H347" s="171">
        <f t="shared" si="113"/>
        <v>1800</v>
      </c>
      <c r="I347" s="171">
        <f t="shared" si="113"/>
        <v>1800</v>
      </c>
      <c r="J347" s="172">
        <f t="shared" si="113"/>
        <v>1800</v>
      </c>
    </row>
    <row r="348" spans="1:11" x14ac:dyDescent="0.2">
      <c r="A348" s="139" t="s">
        <v>437</v>
      </c>
      <c r="B348" s="204">
        <f t="shared" ref="B348:J348" si="114">ROUND(B31/30000,1)</f>
        <v>0.5</v>
      </c>
      <c r="C348" s="204">
        <f t="shared" si="114"/>
        <v>1</v>
      </c>
      <c r="D348" s="204">
        <f t="shared" si="114"/>
        <v>1.5</v>
      </c>
      <c r="E348" s="204">
        <f t="shared" si="114"/>
        <v>1.9</v>
      </c>
      <c r="F348" s="204">
        <f t="shared" si="114"/>
        <v>2.4</v>
      </c>
      <c r="G348" s="204">
        <f t="shared" si="114"/>
        <v>2.9</v>
      </c>
      <c r="H348" s="204">
        <f t="shared" si="114"/>
        <v>3.4</v>
      </c>
      <c r="I348" s="204">
        <f t="shared" si="114"/>
        <v>3.9</v>
      </c>
      <c r="J348" s="205">
        <f t="shared" si="114"/>
        <v>4.4000000000000004</v>
      </c>
    </row>
    <row r="349" spans="1:11" x14ac:dyDescent="0.2">
      <c r="A349" s="139" t="s">
        <v>436</v>
      </c>
      <c r="B349" s="146">
        <f>ROUND(B347*B348,0)</f>
        <v>900</v>
      </c>
      <c r="C349" s="146">
        <f>ROUND(C347*C348,0)</f>
        <v>1800</v>
      </c>
      <c r="D349" s="146">
        <f t="shared" ref="D349:J349" si="115">ROUND(D347*D348,0)</f>
        <v>2700</v>
      </c>
      <c r="E349" s="146">
        <f t="shared" si="115"/>
        <v>3420</v>
      </c>
      <c r="F349" s="146">
        <f t="shared" si="115"/>
        <v>4320</v>
      </c>
      <c r="G349" s="146">
        <f t="shared" si="115"/>
        <v>5220</v>
      </c>
      <c r="H349" s="146">
        <f t="shared" si="115"/>
        <v>6120</v>
      </c>
      <c r="I349" s="146">
        <f t="shared" si="115"/>
        <v>7020</v>
      </c>
      <c r="J349" s="147">
        <f t="shared" si="115"/>
        <v>7920</v>
      </c>
      <c r="K349" s="65"/>
    </row>
    <row r="350" spans="1:11" x14ac:dyDescent="0.2">
      <c r="A350" s="139" t="s">
        <v>178</v>
      </c>
      <c r="B350" s="206">
        <v>4</v>
      </c>
      <c r="C350" s="206">
        <v>4</v>
      </c>
      <c r="D350" s="206">
        <v>4</v>
      </c>
      <c r="E350" s="206">
        <v>4</v>
      </c>
      <c r="F350" s="206">
        <v>4</v>
      </c>
      <c r="G350" s="206">
        <v>4</v>
      </c>
      <c r="H350" s="206">
        <v>4</v>
      </c>
      <c r="I350" s="206">
        <v>4</v>
      </c>
      <c r="J350" s="207">
        <v>4</v>
      </c>
    </row>
    <row r="351" spans="1:11" s="496" customFormat="1" x14ac:dyDescent="0.2">
      <c r="A351" s="139" t="s">
        <v>682</v>
      </c>
      <c r="B351" s="497">
        <f>ROUND(B42/8,0)</f>
        <v>1825</v>
      </c>
      <c r="C351" s="497">
        <f t="shared" ref="C351:J351" si="116">ROUND(C42/8,0)</f>
        <v>3650</v>
      </c>
      <c r="D351" s="497">
        <f t="shared" si="116"/>
        <v>5475</v>
      </c>
      <c r="E351" s="497">
        <f t="shared" si="116"/>
        <v>5110</v>
      </c>
      <c r="F351" s="497">
        <f t="shared" si="116"/>
        <v>6388</v>
      </c>
      <c r="G351" s="497">
        <f t="shared" si="116"/>
        <v>7665</v>
      </c>
      <c r="H351" s="497">
        <f t="shared" si="116"/>
        <v>7026</v>
      </c>
      <c r="I351" s="497">
        <f t="shared" si="116"/>
        <v>6570</v>
      </c>
      <c r="J351" s="497">
        <f t="shared" si="116"/>
        <v>7391</v>
      </c>
    </row>
    <row r="352" spans="1:11" s="496" customFormat="1" x14ac:dyDescent="0.2">
      <c r="A352" s="139" t="s">
        <v>683</v>
      </c>
      <c r="B352" s="497">
        <f>ROUND(B43/9,0)</f>
        <v>0</v>
      </c>
      <c r="C352" s="497">
        <f t="shared" ref="C352:J352" si="117">ROUND(C43/9,0)</f>
        <v>0</v>
      </c>
      <c r="D352" s="497">
        <f t="shared" si="117"/>
        <v>0</v>
      </c>
      <c r="E352" s="497">
        <f t="shared" si="117"/>
        <v>1947</v>
      </c>
      <c r="F352" s="497">
        <f t="shared" si="117"/>
        <v>2433</v>
      </c>
      <c r="G352" s="497">
        <f t="shared" si="117"/>
        <v>2920</v>
      </c>
      <c r="H352" s="497">
        <f t="shared" si="117"/>
        <v>1136</v>
      </c>
      <c r="I352" s="497">
        <f t="shared" si="117"/>
        <v>1298</v>
      </c>
      <c r="J352" s="497">
        <f t="shared" si="117"/>
        <v>1460</v>
      </c>
    </row>
    <row r="353" spans="1:10" s="496" customFormat="1" x14ac:dyDescent="0.2">
      <c r="A353" s="139" t="s">
        <v>684</v>
      </c>
      <c r="B353" s="497">
        <f t="shared" ref="B353:J353" si="118">ROUND(B44/8,0)</f>
        <v>0</v>
      </c>
      <c r="C353" s="497">
        <f t="shared" si="118"/>
        <v>0</v>
      </c>
      <c r="D353" s="497">
        <f t="shared" si="118"/>
        <v>0</v>
      </c>
      <c r="E353" s="497">
        <f t="shared" si="118"/>
        <v>0</v>
      </c>
      <c r="F353" s="497">
        <f t="shared" si="118"/>
        <v>0</v>
      </c>
      <c r="G353" s="497">
        <f t="shared" si="118"/>
        <v>0</v>
      </c>
      <c r="H353" s="497">
        <f t="shared" si="118"/>
        <v>4471</v>
      </c>
      <c r="I353" s="497">
        <f t="shared" si="118"/>
        <v>6570</v>
      </c>
      <c r="J353" s="497">
        <f t="shared" si="118"/>
        <v>7391</v>
      </c>
    </row>
    <row r="354" spans="1:10" x14ac:dyDescent="0.2">
      <c r="A354" s="139" t="s">
        <v>179</v>
      </c>
      <c r="B354" s="126">
        <f>ROUND((B351+B352+B353)*B350,0)</f>
        <v>7300</v>
      </c>
      <c r="C354" s="126">
        <f t="shared" ref="C354:I354" si="119">ROUND((C351+C352+C353)*C350,0)</f>
        <v>14600</v>
      </c>
      <c r="D354" s="126">
        <f t="shared" si="119"/>
        <v>21900</v>
      </c>
      <c r="E354" s="126">
        <f t="shared" si="119"/>
        <v>28228</v>
      </c>
      <c r="F354" s="126">
        <f t="shared" si="119"/>
        <v>35284</v>
      </c>
      <c r="G354" s="126">
        <f t="shared" si="119"/>
        <v>42340</v>
      </c>
      <c r="H354" s="126">
        <f t="shared" si="119"/>
        <v>50532</v>
      </c>
      <c r="I354" s="126">
        <f t="shared" si="119"/>
        <v>57752</v>
      </c>
      <c r="J354" s="126">
        <f>ROUND((J351+J352+J353)*J350,0)</f>
        <v>64968</v>
      </c>
    </row>
    <row r="355" spans="1:10" x14ac:dyDescent="0.2">
      <c r="A355" s="154" t="s">
        <v>188</v>
      </c>
      <c r="B355" s="126">
        <f>B338+B342+B343+B346+B349+B354</f>
        <v>16488</v>
      </c>
      <c r="C355" s="126">
        <f t="shared" ref="C355:J355" si="120">C338+C342+C343+C354</f>
        <v>22300</v>
      </c>
      <c r="D355" s="126">
        <f t="shared" si="120"/>
        <v>29600</v>
      </c>
      <c r="E355" s="126">
        <f t="shared" si="120"/>
        <v>39778</v>
      </c>
      <c r="F355" s="126">
        <f t="shared" si="120"/>
        <v>46834</v>
      </c>
      <c r="G355" s="126">
        <f t="shared" si="120"/>
        <v>53890</v>
      </c>
      <c r="H355" s="126">
        <f t="shared" si="120"/>
        <v>62082</v>
      </c>
      <c r="I355" s="126">
        <f t="shared" si="120"/>
        <v>69302</v>
      </c>
      <c r="J355" s="82">
        <f t="shared" si="120"/>
        <v>76518</v>
      </c>
    </row>
    <row r="356" spans="1:10" s="124" customFormat="1" x14ac:dyDescent="0.2">
      <c r="A356" s="36"/>
      <c r="B356" s="34"/>
      <c r="C356" s="34"/>
      <c r="D356" s="34"/>
      <c r="E356" s="34"/>
      <c r="F356" s="34"/>
      <c r="G356" s="34"/>
      <c r="H356" s="34"/>
      <c r="I356" s="34"/>
      <c r="J356" s="34"/>
    </row>
    <row r="357" spans="1:10" s="124" customFormat="1" x14ac:dyDescent="0.2">
      <c r="A357" s="502" t="s">
        <v>583</v>
      </c>
      <c r="B357" s="502"/>
      <c r="C357" s="502"/>
      <c r="D357" s="502"/>
      <c r="E357" s="502"/>
      <c r="F357" s="502"/>
      <c r="G357" s="502"/>
      <c r="H357" s="502"/>
      <c r="I357" s="502"/>
      <c r="J357" s="502"/>
    </row>
    <row r="358" spans="1:10" x14ac:dyDescent="0.2">
      <c r="A358" s="46" t="s">
        <v>177</v>
      </c>
      <c r="B358" s="34"/>
      <c r="C358" s="34"/>
      <c r="D358" s="34"/>
      <c r="E358" s="34"/>
      <c r="F358" s="34"/>
      <c r="G358" s="34"/>
      <c r="H358" s="34"/>
      <c r="I358" s="34"/>
      <c r="J358" s="34"/>
    </row>
    <row r="359" spans="1:10" x14ac:dyDescent="0.2">
      <c r="A359" s="139" t="s">
        <v>181</v>
      </c>
      <c r="B359" s="171">
        <v>35</v>
      </c>
      <c r="C359" s="171">
        <v>35</v>
      </c>
      <c r="D359" s="171">
        <v>35</v>
      </c>
      <c r="E359" s="171">
        <v>35</v>
      </c>
      <c r="F359" s="171">
        <v>35</v>
      </c>
      <c r="G359" s="171">
        <v>35</v>
      </c>
      <c r="H359" s="171">
        <v>35</v>
      </c>
      <c r="I359" s="171">
        <v>35</v>
      </c>
      <c r="J359" s="171">
        <v>35</v>
      </c>
    </row>
    <row r="360" spans="1:10" x14ac:dyDescent="0.2">
      <c r="A360" s="139" t="s">
        <v>180</v>
      </c>
      <c r="B360" s="126">
        <f t="shared" ref="B360:J360" si="121">ROUND(B7*B359,0)</f>
        <v>12775</v>
      </c>
      <c r="C360" s="126">
        <f t="shared" si="121"/>
        <v>25550</v>
      </c>
      <c r="D360" s="126">
        <f t="shared" si="121"/>
        <v>38325</v>
      </c>
      <c r="E360" s="126">
        <f t="shared" si="121"/>
        <v>51100</v>
      </c>
      <c r="F360" s="126">
        <f t="shared" si="121"/>
        <v>63875</v>
      </c>
      <c r="G360" s="126">
        <f t="shared" si="121"/>
        <v>76650</v>
      </c>
      <c r="H360" s="126">
        <f t="shared" si="121"/>
        <v>89425</v>
      </c>
      <c r="I360" s="126">
        <f t="shared" si="121"/>
        <v>102200</v>
      </c>
      <c r="J360" s="82">
        <f t="shared" si="121"/>
        <v>114975</v>
      </c>
    </row>
    <row r="361" spans="1:10" x14ac:dyDescent="0.2">
      <c r="A361" s="139" t="s">
        <v>182</v>
      </c>
      <c r="B361" s="171">
        <v>45</v>
      </c>
      <c r="C361" s="171">
        <v>45</v>
      </c>
      <c r="D361" s="171">
        <v>45</v>
      </c>
      <c r="E361" s="171">
        <v>45</v>
      </c>
      <c r="F361" s="171">
        <v>45</v>
      </c>
      <c r="G361" s="171">
        <v>45</v>
      </c>
      <c r="H361" s="171">
        <v>45</v>
      </c>
      <c r="I361" s="171">
        <v>45</v>
      </c>
      <c r="J361" s="171">
        <v>45</v>
      </c>
    </row>
    <row r="362" spans="1:10" x14ac:dyDescent="0.2">
      <c r="A362" s="139" t="s">
        <v>183</v>
      </c>
      <c r="B362" s="126">
        <f t="shared" ref="B362:J362" si="122">ROUND(B21+B22*B361,0)</f>
        <v>3288</v>
      </c>
      <c r="C362" s="126">
        <f t="shared" si="122"/>
        <v>6576</v>
      </c>
      <c r="D362" s="126">
        <f t="shared" si="122"/>
        <v>9854</v>
      </c>
      <c r="E362" s="126">
        <f t="shared" si="122"/>
        <v>11193</v>
      </c>
      <c r="F362" s="126">
        <f t="shared" si="122"/>
        <v>12354</v>
      </c>
      <c r="G362" s="126">
        <f t="shared" si="122"/>
        <v>13800</v>
      </c>
      <c r="H362" s="126">
        <f t="shared" si="122"/>
        <v>13995</v>
      </c>
      <c r="I362" s="126">
        <f t="shared" si="122"/>
        <v>15992</v>
      </c>
      <c r="J362" s="82">
        <f t="shared" si="122"/>
        <v>17993</v>
      </c>
    </row>
    <row r="363" spans="1:10" x14ac:dyDescent="0.2">
      <c r="A363" s="139" t="s">
        <v>654</v>
      </c>
      <c r="B363" s="171">
        <v>0</v>
      </c>
      <c r="C363" s="171">
        <v>0</v>
      </c>
      <c r="D363" s="171">
        <v>0</v>
      </c>
      <c r="E363" s="171">
        <v>40</v>
      </c>
      <c r="F363" s="171">
        <v>40</v>
      </c>
      <c r="G363" s="171">
        <v>40</v>
      </c>
      <c r="H363" s="171">
        <v>52</v>
      </c>
      <c r="I363" s="171">
        <v>52</v>
      </c>
      <c r="J363" s="172">
        <v>65</v>
      </c>
    </row>
    <row r="364" spans="1:10" x14ac:dyDescent="0.2">
      <c r="A364" s="139" t="s">
        <v>655</v>
      </c>
      <c r="B364" s="126">
        <f t="shared" ref="B364:J364" si="123">ROUND((B23+B24)*B363,0)</f>
        <v>0</v>
      </c>
      <c r="C364" s="126">
        <f t="shared" si="123"/>
        <v>0</v>
      </c>
      <c r="D364" s="126">
        <f t="shared" si="123"/>
        <v>0</v>
      </c>
      <c r="E364" s="126">
        <f t="shared" si="123"/>
        <v>6572</v>
      </c>
      <c r="F364" s="126">
        <f t="shared" si="123"/>
        <v>13692</v>
      </c>
      <c r="G364" s="126">
        <f t="shared" si="123"/>
        <v>19716</v>
      </c>
      <c r="H364" s="126">
        <f t="shared" si="123"/>
        <v>32562</v>
      </c>
      <c r="I364" s="126">
        <f t="shared" si="123"/>
        <v>37201</v>
      </c>
      <c r="J364" s="82">
        <f t="shared" si="123"/>
        <v>52325</v>
      </c>
    </row>
    <row r="365" spans="1:10" x14ac:dyDescent="0.2">
      <c r="A365" s="139"/>
      <c r="B365" s="171"/>
      <c r="C365" s="171"/>
      <c r="D365" s="171"/>
      <c r="E365" s="171"/>
      <c r="F365" s="171"/>
      <c r="G365" s="171"/>
      <c r="H365" s="171"/>
      <c r="I365" s="171"/>
      <c r="J365" s="172"/>
    </row>
    <row r="366" spans="1:10" x14ac:dyDescent="0.2">
      <c r="A366" s="139"/>
      <c r="B366" s="128"/>
      <c r="C366" s="128"/>
      <c r="D366" s="128"/>
      <c r="E366" s="128"/>
      <c r="F366" s="128"/>
      <c r="G366" s="128"/>
      <c r="H366" s="128"/>
      <c r="I366" s="128"/>
      <c r="J366" s="72"/>
    </row>
    <row r="367" spans="1:10" x14ac:dyDescent="0.2">
      <c r="A367" s="154" t="s">
        <v>184</v>
      </c>
      <c r="B367" s="126">
        <f>ROUND(B360+B362+B364,0)</f>
        <v>16063</v>
      </c>
      <c r="C367" s="126">
        <f t="shared" ref="C367:J367" si="124">ROUND(C360+C362+C364,0)</f>
        <v>32126</v>
      </c>
      <c r="D367" s="126">
        <f t="shared" si="124"/>
        <v>48179</v>
      </c>
      <c r="E367" s="126">
        <f t="shared" si="124"/>
        <v>68865</v>
      </c>
      <c r="F367" s="126">
        <f t="shared" si="124"/>
        <v>89921</v>
      </c>
      <c r="G367" s="126">
        <f t="shared" si="124"/>
        <v>110166</v>
      </c>
      <c r="H367" s="126">
        <f t="shared" si="124"/>
        <v>135982</v>
      </c>
      <c r="I367" s="126">
        <f t="shared" si="124"/>
        <v>155393</v>
      </c>
      <c r="J367" s="126">
        <f t="shared" si="124"/>
        <v>185293</v>
      </c>
    </row>
    <row r="368" spans="1:10" ht="25.5" x14ac:dyDescent="0.2">
      <c r="A368" s="156" t="s">
        <v>391</v>
      </c>
      <c r="B368" s="208">
        <f>ROUND(B367/B19,2)</f>
        <v>58.62</v>
      </c>
      <c r="C368" s="208">
        <f t="shared" ref="C368:I368" si="125">ROUND(C367/C19,2)</f>
        <v>58.62</v>
      </c>
      <c r="D368" s="208">
        <f t="shared" si="125"/>
        <v>58.68</v>
      </c>
      <c r="E368" s="208">
        <f t="shared" si="125"/>
        <v>62.89</v>
      </c>
      <c r="F368" s="208">
        <f t="shared" si="125"/>
        <v>65.680000000000007</v>
      </c>
      <c r="G368" s="208">
        <f t="shared" si="125"/>
        <v>67.05</v>
      </c>
      <c r="H368" s="208">
        <f t="shared" si="125"/>
        <v>76.010000000000005</v>
      </c>
      <c r="I368" s="208">
        <f t="shared" si="125"/>
        <v>76.02</v>
      </c>
      <c r="J368" s="209">
        <f>ROUND(J367/J19,2)</f>
        <v>80.56</v>
      </c>
    </row>
    <row r="369" spans="1:10" x14ac:dyDescent="0.2">
      <c r="A369" s="49" t="s">
        <v>431</v>
      </c>
    </row>
    <row r="370" spans="1:10" x14ac:dyDescent="0.2">
      <c r="A370" s="210" t="s">
        <v>186</v>
      </c>
      <c r="B370" s="211"/>
      <c r="C370" s="211"/>
      <c r="D370" s="211"/>
      <c r="E370" s="211"/>
      <c r="F370" s="211"/>
      <c r="G370" s="211"/>
      <c r="H370" s="211"/>
      <c r="I370" s="211"/>
      <c r="J370" s="211"/>
    </row>
    <row r="371" spans="1:10" x14ac:dyDescent="0.2">
      <c r="A371" s="155" t="s">
        <v>208</v>
      </c>
      <c r="B371" s="171">
        <f>ROUND(125,0)</f>
        <v>125</v>
      </c>
      <c r="C371" s="171">
        <f>ROUND(125,0)</f>
        <v>125</v>
      </c>
      <c r="D371" s="171">
        <f>ROUND(125,0)</f>
        <v>125</v>
      </c>
      <c r="E371" s="171">
        <v>150</v>
      </c>
      <c r="F371" s="171">
        <v>150</v>
      </c>
      <c r="G371" s="171">
        <v>150</v>
      </c>
      <c r="H371" s="171">
        <v>250</v>
      </c>
      <c r="I371" s="171">
        <v>250</v>
      </c>
      <c r="J371" s="172">
        <v>250</v>
      </c>
    </row>
    <row r="372" spans="1:10" x14ac:dyDescent="0.2">
      <c r="A372" s="155" t="s">
        <v>211</v>
      </c>
      <c r="B372" s="126">
        <f>ROUND(B371*12,0)</f>
        <v>1500</v>
      </c>
      <c r="C372" s="126">
        <f t="shared" ref="C372:J372" si="126">ROUND(C371*12,0)</f>
        <v>1500</v>
      </c>
      <c r="D372" s="126">
        <f t="shared" si="126"/>
        <v>1500</v>
      </c>
      <c r="E372" s="126">
        <f t="shared" si="126"/>
        <v>1800</v>
      </c>
      <c r="F372" s="126">
        <f t="shared" si="126"/>
        <v>1800</v>
      </c>
      <c r="G372" s="126">
        <f t="shared" si="126"/>
        <v>1800</v>
      </c>
      <c r="H372" s="126">
        <f t="shared" si="126"/>
        <v>3000</v>
      </c>
      <c r="I372" s="126">
        <f t="shared" si="126"/>
        <v>3000</v>
      </c>
      <c r="J372" s="82">
        <f t="shared" si="126"/>
        <v>3000</v>
      </c>
    </row>
    <row r="373" spans="1:10" x14ac:dyDescent="0.2">
      <c r="A373" s="48" t="s">
        <v>209</v>
      </c>
      <c r="B373" s="34"/>
      <c r="C373" s="34"/>
      <c r="D373" s="34"/>
      <c r="E373" s="34"/>
      <c r="F373" s="34"/>
      <c r="G373" s="34"/>
      <c r="H373" s="34"/>
      <c r="I373" s="34"/>
      <c r="J373" s="34"/>
    </row>
    <row r="374" spans="1:10" x14ac:dyDescent="0.2">
      <c r="A374" s="155" t="s">
        <v>222</v>
      </c>
      <c r="B374" s="135">
        <f t="shared" ref="B374:J374" si="127">B80</f>
        <v>15</v>
      </c>
      <c r="C374" s="135">
        <f t="shared" si="127"/>
        <v>15</v>
      </c>
      <c r="D374" s="135">
        <f t="shared" si="127"/>
        <v>15</v>
      </c>
      <c r="E374" s="135">
        <f t="shared" si="127"/>
        <v>17</v>
      </c>
      <c r="F374" s="135">
        <f t="shared" si="127"/>
        <v>17</v>
      </c>
      <c r="G374" s="135">
        <f t="shared" si="127"/>
        <v>17</v>
      </c>
      <c r="H374" s="135">
        <f t="shared" si="127"/>
        <v>20</v>
      </c>
      <c r="I374" s="135">
        <f t="shared" si="127"/>
        <v>20</v>
      </c>
      <c r="J374" s="136">
        <f t="shared" si="127"/>
        <v>20</v>
      </c>
    </row>
    <row r="375" spans="1:10" x14ac:dyDescent="0.2">
      <c r="A375" s="155" t="s">
        <v>210</v>
      </c>
      <c r="B375" s="171">
        <f>ROUND(15,0)</f>
        <v>15</v>
      </c>
      <c r="C375" s="171">
        <f t="shared" ref="C375:J375" si="128">ROUND(15,0)</f>
        <v>15</v>
      </c>
      <c r="D375" s="171">
        <f t="shared" si="128"/>
        <v>15</v>
      </c>
      <c r="E375" s="171">
        <f t="shared" si="128"/>
        <v>15</v>
      </c>
      <c r="F375" s="171">
        <f t="shared" si="128"/>
        <v>15</v>
      </c>
      <c r="G375" s="171">
        <f t="shared" si="128"/>
        <v>15</v>
      </c>
      <c r="H375" s="171">
        <f t="shared" si="128"/>
        <v>15</v>
      </c>
      <c r="I375" s="171">
        <f t="shared" si="128"/>
        <v>15</v>
      </c>
      <c r="J375" s="172">
        <f t="shared" si="128"/>
        <v>15</v>
      </c>
    </row>
    <row r="376" spans="1:10" x14ac:dyDescent="0.2">
      <c r="A376" s="155" t="s">
        <v>212</v>
      </c>
      <c r="B376" s="126">
        <f>ROUND(B374*B375*12,0)</f>
        <v>2700</v>
      </c>
      <c r="C376" s="126">
        <f t="shared" ref="C376:J376" si="129">ROUND(C374*C375*12,0)</f>
        <v>2700</v>
      </c>
      <c r="D376" s="126">
        <f t="shared" si="129"/>
        <v>2700</v>
      </c>
      <c r="E376" s="126">
        <f t="shared" si="129"/>
        <v>3060</v>
      </c>
      <c r="F376" s="126">
        <f t="shared" si="129"/>
        <v>3060</v>
      </c>
      <c r="G376" s="126">
        <f t="shared" si="129"/>
        <v>3060</v>
      </c>
      <c r="H376" s="126">
        <f t="shared" si="129"/>
        <v>3600</v>
      </c>
      <c r="I376" s="126">
        <f t="shared" si="129"/>
        <v>3600</v>
      </c>
      <c r="J376" s="82">
        <f t="shared" si="129"/>
        <v>3600</v>
      </c>
    </row>
    <row r="377" spans="1:10" x14ac:dyDescent="0.2">
      <c r="A377" s="156" t="s">
        <v>187</v>
      </c>
      <c r="B377" s="126">
        <f>ROUND(B372+B376,0)</f>
        <v>4200</v>
      </c>
      <c r="C377" s="126">
        <f t="shared" ref="C377:J377" si="130">ROUND(C372+C376,0)</f>
        <v>4200</v>
      </c>
      <c r="D377" s="126">
        <f t="shared" si="130"/>
        <v>4200</v>
      </c>
      <c r="E377" s="126">
        <f t="shared" si="130"/>
        <v>4860</v>
      </c>
      <c r="F377" s="126">
        <f t="shared" si="130"/>
        <v>4860</v>
      </c>
      <c r="G377" s="126">
        <f t="shared" si="130"/>
        <v>4860</v>
      </c>
      <c r="H377" s="126">
        <f t="shared" si="130"/>
        <v>6600</v>
      </c>
      <c r="I377" s="126">
        <f t="shared" si="130"/>
        <v>6600</v>
      </c>
      <c r="J377" s="82">
        <f t="shared" si="130"/>
        <v>6600</v>
      </c>
    </row>
    <row r="378" spans="1:10" x14ac:dyDescent="0.2">
      <c r="A378" s="26" t="s">
        <v>185</v>
      </c>
      <c r="B378" s="34"/>
      <c r="C378" s="34"/>
      <c r="D378" s="34"/>
      <c r="E378" s="34"/>
      <c r="F378" s="34"/>
      <c r="G378" s="34"/>
      <c r="H378" s="34"/>
      <c r="I378" s="34"/>
      <c r="J378" s="34"/>
    </row>
    <row r="379" spans="1:10" x14ac:dyDescent="0.2">
      <c r="A379" s="154" t="s">
        <v>675</v>
      </c>
      <c r="B379" s="171">
        <f>ROUND(450,0)</f>
        <v>450</v>
      </c>
      <c r="C379" s="171">
        <f t="shared" ref="C379:J379" si="131">ROUND(450,0)</f>
        <v>450</v>
      </c>
      <c r="D379" s="171">
        <f t="shared" si="131"/>
        <v>450</v>
      </c>
      <c r="E379" s="171">
        <f t="shared" si="131"/>
        <v>450</v>
      </c>
      <c r="F379" s="171">
        <f t="shared" si="131"/>
        <v>450</v>
      </c>
      <c r="G379" s="171">
        <f t="shared" si="131"/>
        <v>450</v>
      </c>
      <c r="H379" s="171">
        <f t="shared" si="131"/>
        <v>450</v>
      </c>
      <c r="I379" s="171">
        <f t="shared" si="131"/>
        <v>450</v>
      </c>
      <c r="J379" s="172">
        <f t="shared" si="131"/>
        <v>450</v>
      </c>
    </row>
    <row r="380" spans="1:10" x14ac:dyDescent="0.2">
      <c r="A380" s="154" t="s">
        <v>441</v>
      </c>
      <c r="B380" s="171">
        <v>0</v>
      </c>
      <c r="C380" s="171">
        <v>0</v>
      </c>
      <c r="D380" s="171">
        <v>0</v>
      </c>
      <c r="E380" s="171">
        <v>0</v>
      </c>
      <c r="F380" s="171">
        <v>0</v>
      </c>
      <c r="G380" s="171">
        <v>0</v>
      </c>
      <c r="H380" s="171">
        <f>ROUND(350,0)</f>
        <v>350</v>
      </c>
      <c r="I380" s="171">
        <f>ROUND(350,0)</f>
        <v>350</v>
      </c>
      <c r="J380" s="172">
        <f>ROUND(350,0)</f>
        <v>350</v>
      </c>
    </row>
    <row r="381" spans="1:10" x14ac:dyDescent="0.2">
      <c r="A381" s="45" t="s">
        <v>533</v>
      </c>
      <c r="B381" s="34"/>
      <c r="C381" s="34"/>
      <c r="D381" s="34"/>
      <c r="E381" s="34"/>
      <c r="F381" s="34"/>
      <c r="G381" s="34"/>
      <c r="H381" s="34"/>
      <c r="I381" s="34"/>
      <c r="J381" s="34"/>
    </row>
    <row r="382" spans="1:10" x14ac:dyDescent="0.2">
      <c r="A382" s="155" t="s">
        <v>534</v>
      </c>
      <c r="B382" s="167">
        <f>B80</f>
        <v>15</v>
      </c>
      <c r="C382" s="167">
        <f>C80</f>
        <v>15</v>
      </c>
      <c r="D382" s="167">
        <f>D80</f>
        <v>15</v>
      </c>
      <c r="E382" s="167">
        <v>12</v>
      </c>
      <c r="F382" s="167">
        <v>12</v>
      </c>
      <c r="G382" s="167">
        <v>12</v>
      </c>
      <c r="H382" s="167">
        <v>7</v>
      </c>
      <c r="I382" s="167">
        <v>7</v>
      </c>
      <c r="J382" s="168">
        <v>7</v>
      </c>
    </row>
    <row r="383" spans="1:10" x14ac:dyDescent="0.2">
      <c r="A383" s="155" t="s">
        <v>622</v>
      </c>
      <c r="B383" s="171">
        <f>ROUND(25,0)</f>
        <v>25</v>
      </c>
      <c r="C383" s="171">
        <f t="shared" ref="C383:J383" si="132">ROUND(25,0)</f>
        <v>25</v>
      </c>
      <c r="D383" s="171">
        <f t="shared" si="132"/>
        <v>25</v>
      </c>
      <c r="E383" s="171">
        <f t="shared" si="132"/>
        <v>25</v>
      </c>
      <c r="F383" s="171">
        <f t="shared" si="132"/>
        <v>25</v>
      </c>
      <c r="G383" s="171">
        <f t="shared" si="132"/>
        <v>25</v>
      </c>
      <c r="H383" s="171">
        <f t="shared" si="132"/>
        <v>25</v>
      </c>
      <c r="I383" s="171">
        <f t="shared" si="132"/>
        <v>25</v>
      </c>
      <c r="J383" s="172">
        <f t="shared" si="132"/>
        <v>25</v>
      </c>
    </row>
    <row r="384" spans="1:10" x14ac:dyDescent="0.2">
      <c r="A384" s="156" t="s">
        <v>535</v>
      </c>
      <c r="B384" s="126">
        <f>ROUND(B382*B383,0)</f>
        <v>375</v>
      </c>
      <c r="C384" s="126">
        <f t="shared" ref="C384:J384" si="133">ROUND(C382*C383,0)</f>
        <v>375</v>
      </c>
      <c r="D384" s="126">
        <f t="shared" si="133"/>
        <v>375</v>
      </c>
      <c r="E384" s="126">
        <f t="shared" si="133"/>
        <v>300</v>
      </c>
      <c r="F384" s="126">
        <f t="shared" si="133"/>
        <v>300</v>
      </c>
      <c r="G384" s="126">
        <f t="shared" si="133"/>
        <v>300</v>
      </c>
      <c r="H384" s="126">
        <f t="shared" si="133"/>
        <v>175</v>
      </c>
      <c r="I384" s="126">
        <f t="shared" si="133"/>
        <v>175</v>
      </c>
      <c r="J384" s="82">
        <f t="shared" si="133"/>
        <v>175</v>
      </c>
    </row>
    <row r="385" spans="1:10" x14ac:dyDescent="0.2">
      <c r="A385" s="45" t="s">
        <v>614</v>
      </c>
      <c r="B385" s="34"/>
      <c r="C385" s="34"/>
      <c r="D385" s="34"/>
      <c r="E385" s="34"/>
      <c r="F385" s="34"/>
      <c r="G385" s="34"/>
      <c r="H385" s="34"/>
      <c r="I385" s="34"/>
      <c r="J385" s="34"/>
    </row>
    <row r="386" spans="1:10" x14ac:dyDescent="0.2">
      <c r="A386" s="155" t="s">
        <v>615</v>
      </c>
      <c r="B386" s="167">
        <v>0</v>
      </c>
      <c r="C386" s="167">
        <v>0</v>
      </c>
      <c r="D386" s="167">
        <v>0</v>
      </c>
      <c r="E386" s="167">
        <v>5</v>
      </c>
      <c r="F386" s="167">
        <v>5</v>
      </c>
      <c r="G386" s="167">
        <v>5</v>
      </c>
      <c r="H386" s="167">
        <v>4</v>
      </c>
      <c r="I386" s="167">
        <v>4</v>
      </c>
      <c r="J386" s="168">
        <v>4</v>
      </c>
    </row>
    <row r="387" spans="1:10" x14ac:dyDescent="0.2">
      <c r="A387" s="155" t="s">
        <v>616</v>
      </c>
      <c r="B387" s="171">
        <f>ROUND(45,0)</f>
        <v>45</v>
      </c>
      <c r="C387" s="171">
        <f t="shared" ref="C387:J387" si="134">ROUND(45,0)</f>
        <v>45</v>
      </c>
      <c r="D387" s="171">
        <f t="shared" si="134"/>
        <v>45</v>
      </c>
      <c r="E387" s="171">
        <f t="shared" si="134"/>
        <v>45</v>
      </c>
      <c r="F387" s="171">
        <f t="shared" si="134"/>
        <v>45</v>
      </c>
      <c r="G387" s="171">
        <f t="shared" si="134"/>
        <v>45</v>
      </c>
      <c r="H387" s="171">
        <f t="shared" si="134"/>
        <v>45</v>
      </c>
      <c r="I387" s="171">
        <f t="shared" si="134"/>
        <v>45</v>
      </c>
      <c r="J387" s="172">
        <f t="shared" si="134"/>
        <v>45</v>
      </c>
    </row>
    <row r="388" spans="1:10" x14ac:dyDescent="0.2">
      <c r="A388" s="156" t="s">
        <v>617</v>
      </c>
      <c r="B388" s="126">
        <f>ROUND(B386*B387,0)</f>
        <v>0</v>
      </c>
      <c r="C388" s="126">
        <f t="shared" ref="C388:J388" si="135">ROUND(C386*C387,0)</f>
        <v>0</v>
      </c>
      <c r="D388" s="126">
        <f t="shared" si="135"/>
        <v>0</v>
      </c>
      <c r="E388" s="126">
        <f t="shared" si="135"/>
        <v>225</v>
      </c>
      <c r="F388" s="126">
        <f t="shared" si="135"/>
        <v>225</v>
      </c>
      <c r="G388" s="126">
        <f t="shared" si="135"/>
        <v>225</v>
      </c>
      <c r="H388" s="126">
        <f t="shared" si="135"/>
        <v>180</v>
      </c>
      <c r="I388" s="126">
        <f t="shared" si="135"/>
        <v>180</v>
      </c>
      <c r="J388" s="82">
        <f t="shared" si="135"/>
        <v>180</v>
      </c>
    </row>
    <row r="389" spans="1:10" x14ac:dyDescent="0.2">
      <c r="A389" s="45" t="s">
        <v>618</v>
      </c>
      <c r="B389" s="34"/>
      <c r="C389" s="34"/>
      <c r="D389" s="34"/>
      <c r="E389" s="34"/>
      <c r="F389" s="34"/>
      <c r="G389" s="34"/>
      <c r="H389" s="34"/>
      <c r="I389" s="34"/>
      <c r="J389" s="34"/>
    </row>
    <row r="390" spans="1:10" x14ac:dyDescent="0.2">
      <c r="A390" s="155" t="s">
        <v>619</v>
      </c>
      <c r="B390" s="135">
        <v>0</v>
      </c>
      <c r="C390" s="135">
        <v>0</v>
      </c>
      <c r="D390" s="135">
        <v>0</v>
      </c>
      <c r="E390" s="135">
        <v>0</v>
      </c>
      <c r="F390" s="135">
        <v>0</v>
      </c>
      <c r="G390" s="135">
        <v>0</v>
      </c>
      <c r="H390" s="135">
        <v>9</v>
      </c>
      <c r="I390" s="135">
        <v>9</v>
      </c>
      <c r="J390" s="136">
        <v>9</v>
      </c>
    </row>
    <row r="391" spans="1:10" x14ac:dyDescent="0.2">
      <c r="A391" s="155" t="s">
        <v>620</v>
      </c>
      <c r="B391" s="171">
        <f>ROUND(65,0)</f>
        <v>65</v>
      </c>
      <c r="C391" s="171">
        <f t="shared" ref="C391:J391" si="136">ROUND(65,0)</f>
        <v>65</v>
      </c>
      <c r="D391" s="171">
        <f t="shared" si="136"/>
        <v>65</v>
      </c>
      <c r="E391" s="171">
        <f t="shared" si="136"/>
        <v>65</v>
      </c>
      <c r="F391" s="171">
        <f t="shared" si="136"/>
        <v>65</v>
      </c>
      <c r="G391" s="171">
        <f t="shared" si="136"/>
        <v>65</v>
      </c>
      <c r="H391" s="171">
        <f t="shared" si="136"/>
        <v>65</v>
      </c>
      <c r="I391" s="171">
        <f t="shared" si="136"/>
        <v>65</v>
      </c>
      <c r="J391" s="172">
        <f t="shared" si="136"/>
        <v>65</v>
      </c>
    </row>
    <row r="392" spans="1:10" x14ac:dyDescent="0.2">
      <c r="A392" s="156" t="s">
        <v>621</v>
      </c>
      <c r="B392" s="126">
        <f>ROUND(B390*B391,0)</f>
        <v>0</v>
      </c>
      <c r="C392" s="126">
        <f t="shared" ref="C392:J392" si="137">ROUND(C390*C391,0)</f>
        <v>0</v>
      </c>
      <c r="D392" s="126">
        <f t="shared" si="137"/>
        <v>0</v>
      </c>
      <c r="E392" s="126">
        <f t="shared" si="137"/>
        <v>0</v>
      </c>
      <c r="F392" s="126">
        <f t="shared" si="137"/>
        <v>0</v>
      </c>
      <c r="G392" s="126">
        <f t="shared" si="137"/>
        <v>0</v>
      </c>
      <c r="H392" s="126">
        <f t="shared" si="137"/>
        <v>585</v>
      </c>
      <c r="I392" s="126">
        <f t="shared" si="137"/>
        <v>585</v>
      </c>
      <c r="J392" s="82">
        <f t="shared" si="137"/>
        <v>585</v>
      </c>
    </row>
    <row r="393" spans="1:10" x14ac:dyDescent="0.2">
      <c r="A393" s="125" t="s">
        <v>214</v>
      </c>
      <c r="B393" s="126">
        <f>ROUND(B379+B380+B384+B388+B392,0)</f>
        <v>825</v>
      </c>
      <c r="C393" s="126">
        <f t="shared" ref="C393:J393" si="138">ROUND(C379+C380+C384+C388+C392,0)</f>
        <v>825</v>
      </c>
      <c r="D393" s="126">
        <f t="shared" si="138"/>
        <v>825</v>
      </c>
      <c r="E393" s="126">
        <f t="shared" si="138"/>
        <v>975</v>
      </c>
      <c r="F393" s="126">
        <f t="shared" si="138"/>
        <v>975</v>
      </c>
      <c r="G393" s="126">
        <f t="shared" si="138"/>
        <v>975</v>
      </c>
      <c r="H393" s="126">
        <f t="shared" si="138"/>
        <v>1740</v>
      </c>
      <c r="I393" s="126">
        <f t="shared" si="138"/>
        <v>1740</v>
      </c>
      <c r="J393" s="82">
        <f t="shared" si="138"/>
        <v>1740</v>
      </c>
    </row>
    <row r="394" spans="1:10" s="124" customFormat="1" x14ac:dyDescent="0.2">
      <c r="A394" s="36"/>
      <c r="B394" s="34"/>
      <c r="C394" s="34"/>
      <c r="D394" s="34"/>
      <c r="E394" s="34"/>
      <c r="F394" s="34"/>
      <c r="G394" s="34"/>
      <c r="H394" s="34"/>
      <c r="I394" s="34"/>
      <c r="J394" s="34"/>
    </row>
    <row r="395" spans="1:10" s="124" customFormat="1" ht="12" customHeight="1" x14ac:dyDescent="0.2">
      <c r="A395" s="502" t="s">
        <v>584</v>
      </c>
      <c r="B395" s="502"/>
      <c r="C395" s="502"/>
      <c r="D395" s="502"/>
      <c r="E395" s="502"/>
      <c r="F395" s="502"/>
      <c r="G395" s="502"/>
      <c r="H395" s="502"/>
      <c r="I395" s="502"/>
      <c r="J395" s="502"/>
    </row>
    <row r="396" spans="1:10" x14ac:dyDescent="0.2">
      <c r="A396" s="26" t="s">
        <v>193</v>
      </c>
      <c r="B396" s="34"/>
      <c r="C396" s="34"/>
      <c r="D396" s="34"/>
      <c r="E396" s="34"/>
      <c r="F396" s="34"/>
      <c r="G396" s="34"/>
      <c r="H396" s="34"/>
      <c r="I396" s="34"/>
      <c r="J396" s="34"/>
    </row>
    <row r="397" spans="1:10" x14ac:dyDescent="0.2">
      <c r="A397" s="139" t="s">
        <v>219</v>
      </c>
      <c r="B397" s="171">
        <f>ROUND(150,0)</f>
        <v>150</v>
      </c>
      <c r="C397" s="171">
        <f>ROUND(150,0)</f>
        <v>150</v>
      </c>
      <c r="D397" s="171">
        <f>ROUND(150,0)</f>
        <v>150</v>
      </c>
      <c r="E397" s="171">
        <f>ROUND(175,0)</f>
        <v>175</v>
      </c>
      <c r="F397" s="171">
        <f>ROUND(175,0)</f>
        <v>175</v>
      </c>
      <c r="G397" s="171">
        <f>ROUND(250,0)</f>
        <v>250</v>
      </c>
      <c r="H397" s="171">
        <f>ROUND(250,0)</f>
        <v>250</v>
      </c>
      <c r="I397" s="171">
        <v>350</v>
      </c>
      <c r="J397" s="172">
        <v>350</v>
      </c>
    </row>
    <row r="398" spans="1:10" x14ac:dyDescent="0.2">
      <c r="A398" s="156" t="s">
        <v>218</v>
      </c>
      <c r="B398" s="126">
        <f>ROUND(B397*12,0)</f>
        <v>1800</v>
      </c>
      <c r="C398" s="126">
        <f t="shared" ref="C398:J398" si="139">ROUND(C397*12,0)</f>
        <v>1800</v>
      </c>
      <c r="D398" s="126">
        <f t="shared" si="139"/>
        <v>1800</v>
      </c>
      <c r="E398" s="126">
        <f t="shared" si="139"/>
        <v>2100</v>
      </c>
      <c r="F398" s="126">
        <f t="shared" si="139"/>
        <v>2100</v>
      </c>
      <c r="G398" s="126">
        <f t="shared" si="139"/>
        <v>3000</v>
      </c>
      <c r="H398" s="126">
        <f t="shared" si="139"/>
        <v>3000</v>
      </c>
      <c r="I398" s="126">
        <f t="shared" si="139"/>
        <v>4200</v>
      </c>
      <c r="J398" s="82">
        <f t="shared" si="139"/>
        <v>4200</v>
      </c>
    </row>
    <row r="399" spans="1:10" x14ac:dyDescent="0.2">
      <c r="A399" s="26" t="s">
        <v>194</v>
      </c>
      <c r="B399" s="34"/>
      <c r="C399" s="34"/>
      <c r="D399" s="34"/>
      <c r="E399" s="34"/>
      <c r="F399" s="34"/>
      <c r="G399" s="34"/>
      <c r="H399" s="34"/>
      <c r="I399" s="34"/>
      <c r="J399" s="34"/>
    </row>
    <row r="400" spans="1:10" x14ac:dyDescent="0.2">
      <c r="A400" s="155" t="s">
        <v>222</v>
      </c>
      <c r="B400" s="135">
        <f t="shared" ref="B400:J400" si="140">B80</f>
        <v>15</v>
      </c>
      <c r="C400" s="135">
        <f t="shared" si="140"/>
        <v>15</v>
      </c>
      <c r="D400" s="135">
        <f t="shared" si="140"/>
        <v>15</v>
      </c>
      <c r="E400" s="135">
        <f t="shared" si="140"/>
        <v>17</v>
      </c>
      <c r="F400" s="135">
        <f t="shared" si="140"/>
        <v>17</v>
      </c>
      <c r="G400" s="135">
        <f t="shared" si="140"/>
        <v>17</v>
      </c>
      <c r="H400" s="135">
        <f t="shared" si="140"/>
        <v>20</v>
      </c>
      <c r="I400" s="135">
        <f t="shared" si="140"/>
        <v>20</v>
      </c>
      <c r="J400" s="136">
        <f t="shared" si="140"/>
        <v>20</v>
      </c>
    </row>
    <row r="401" spans="1:10" x14ac:dyDescent="0.2">
      <c r="A401" s="139" t="s">
        <v>220</v>
      </c>
      <c r="B401" s="171">
        <v>38</v>
      </c>
      <c r="C401" s="171">
        <v>38</v>
      </c>
      <c r="D401" s="171">
        <v>38</v>
      </c>
      <c r="E401" s="171">
        <v>50</v>
      </c>
      <c r="F401" s="171">
        <v>50</v>
      </c>
      <c r="G401" s="171">
        <v>50</v>
      </c>
      <c r="H401" s="171">
        <v>100</v>
      </c>
      <c r="I401" s="171">
        <v>100</v>
      </c>
      <c r="J401" s="172">
        <v>100</v>
      </c>
    </row>
    <row r="402" spans="1:10" x14ac:dyDescent="0.2">
      <c r="A402" s="125" t="s">
        <v>221</v>
      </c>
      <c r="B402" s="126">
        <f>ROUND(B400*B401*12,0)</f>
        <v>6840</v>
      </c>
      <c r="C402" s="126">
        <f t="shared" ref="C402:J402" si="141">ROUND(C400*C401*12,0)</f>
        <v>6840</v>
      </c>
      <c r="D402" s="126">
        <f t="shared" si="141"/>
        <v>6840</v>
      </c>
      <c r="E402" s="126">
        <f t="shared" si="141"/>
        <v>10200</v>
      </c>
      <c r="F402" s="126">
        <f t="shared" si="141"/>
        <v>10200</v>
      </c>
      <c r="G402" s="126">
        <f t="shared" si="141"/>
        <v>10200</v>
      </c>
      <c r="H402" s="126">
        <f t="shared" si="141"/>
        <v>24000</v>
      </c>
      <c r="I402" s="126">
        <f t="shared" si="141"/>
        <v>24000</v>
      </c>
      <c r="J402" s="82">
        <f t="shared" si="141"/>
        <v>24000</v>
      </c>
    </row>
    <row r="403" spans="1:10" x14ac:dyDescent="0.2">
      <c r="A403" s="26" t="s">
        <v>444</v>
      </c>
      <c r="B403" s="34"/>
      <c r="C403" s="34"/>
      <c r="D403" s="34"/>
      <c r="E403" s="34"/>
      <c r="F403" s="34"/>
      <c r="G403" s="34"/>
      <c r="H403" s="34"/>
      <c r="I403" s="34"/>
      <c r="J403" s="34"/>
    </row>
    <row r="404" spans="1:10" x14ac:dyDescent="0.2">
      <c r="A404" s="125" t="s">
        <v>222</v>
      </c>
      <c r="B404" s="135">
        <f>B80</f>
        <v>15</v>
      </c>
      <c r="C404" s="135">
        <f t="shared" ref="C404:J404" si="142">C80</f>
        <v>15</v>
      </c>
      <c r="D404" s="135">
        <f t="shared" si="142"/>
        <v>15</v>
      </c>
      <c r="E404" s="135">
        <f t="shared" si="142"/>
        <v>17</v>
      </c>
      <c r="F404" s="135">
        <f t="shared" si="142"/>
        <v>17</v>
      </c>
      <c r="G404" s="135">
        <f t="shared" si="142"/>
        <v>17</v>
      </c>
      <c r="H404" s="135">
        <f t="shared" si="142"/>
        <v>20</v>
      </c>
      <c r="I404" s="135">
        <f t="shared" si="142"/>
        <v>20</v>
      </c>
      <c r="J404" s="136">
        <f t="shared" si="142"/>
        <v>20</v>
      </c>
    </row>
    <row r="405" spans="1:10" x14ac:dyDescent="0.2">
      <c r="A405" s="139" t="s">
        <v>443</v>
      </c>
      <c r="B405" s="171">
        <f>ROUND(150,0)</f>
        <v>150</v>
      </c>
      <c r="C405" s="171">
        <f t="shared" ref="C405:J405" si="143">ROUND(150,0)</f>
        <v>150</v>
      </c>
      <c r="D405" s="171">
        <f t="shared" si="143"/>
        <v>150</v>
      </c>
      <c r="E405" s="171">
        <f t="shared" si="143"/>
        <v>150</v>
      </c>
      <c r="F405" s="171">
        <f t="shared" si="143"/>
        <v>150</v>
      </c>
      <c r="G405" s="171">
        <f t="shared" si="143"/>
        <v>150</v>
      </c>
      <c r="H405" s="171">
        <f t="shared" si="143"/>
        <v>150</v>
      </c>
      <c r="I405" s="171">
        <f t="shared" si="143"/>
        <v>150</v>
      </c>
      <c r="J405" s="172">
        <f t="shared" si="143"/>
        <v>150</v>
      </c>
    </row>
    <row r="406" spans="1:10" x14ac:dyDescent="0.2">
      <c r="A406" s="125" t="s">
        <v>445</v>
      </c>
      <c r="B406" s="126">
        <f>ROUND(B404*B405,0)</f>
        <v>2250</v>
      </c>
      <c r="C406" s="126">
        <f t="shared" ref="C406:J406" si="144">ROUND(C404*C405,0)</f>
        <v>2250</v>
      </c>
      <c r="D406" s="126">
        <f t="shared" si="144"/>
        <v>2250</v>
      </c>
      <c r="E406" s="126">
        <f t="shared" si="144"/>
        <v>2550</v>
      </c>
      <c r="F406" s="126">
        <f t="shared" si="144"/>
        <v>2550</v>
      </c>
      <c r="G406" s="126">
        <f t="shared" si="144"/>
        <v>2550</v>
      </c>
      <c r="H406" s="126">
        <f t="shared" si="144"/>
        <v>3000</v>
      </c>
      <c r="I406" s="126">
        <f t="shared" si="144"/>
        <v>3000</v>
      </c>
      <c r="J406" s="82">
        <f t="shared" si="144"/>
        <v>3000</v>
      </c>
    </row>
    <row r="407" spans="1:10" x14ac:dyDescent="0.2">
      <c r="A407" s="26" t="s">
        <v>195</v>
      </c>
      <c r="B407" s="34"/>
      <c r="C407" s="34"/>
      <c r="D407" s="34"/>
      <c r="E407" s="34"/>
      <c r="F407" s="34"/>
      <c r="G407" s="34"/>
      <c r="H407" s="34"/>
      <c r="I407" s="34"/>
      <c r="J407" s="34"/>
    </row>
    <row r="408" spans="1:10" x14ac:dyDescent="0.2">
      <c r="A408" s="155" t="s">
        <v>222</v>
      </c>
      <c r="B408" s="135">
        <f t="shared" ref="B408:J408" si="145">B80</f>
        <v>15</v>
      </c>
      <c r="C408" s="135">
        <f t="shared" si="145"/>
        <v>15</v>
      </c>
      <c r="D408" s="135">
        <f t="shared" si="145"/>
        <v>15</v>
      </c>
      <c r="E408" s="135">
        <f t="shared" si="145"/>
        <v>17</v>
      </c>
      <c r="F408" s="135">
        <f t="shared" si="145"/>
        <v>17</v>
      </c>
      <c r="G408" s="135">
        <f t="shared" si="145"/>
        <v>17</v>
      </c>
      <c r="H408" s="135">
        <f t="shared" si="145"/>
        <v>20</v>
      </c>
      <c r="I408" s="135">
        <f t="shared" si="145"/>
        <v>20</v>
      </c>
      <c r="J408" s="136">
        <f t="shared" si="145"/>
        <v>20</v>
      </c>
    </row>
    <row r="409" spans="1:10" x14ac:dyDescent="0.2">
      <c r="A409" s="155" t="s">
        <v>224</v>
      </c>
      <c r="B409" s="171">
        <f>ROUND(30,0)</f>
        <v>30</v>
      </c>
      <c r="C409" s="171">
        <f>ROUND(30,0)</f>
        <v>30</v>
      </c>
      <c r="D409" s="171">
        <f>ROUND(30,0)</f>
        <v>30</v>
      </c>
      <c r="E409" s="171">
        <v>45</v>
      </c>
      <c r="F409" s="171">
        <v>45</v>
      </c>
      <c r="G409" s="171">
        <v>45</v>
      </c>
      <c r="H409" s="171">
        <v>60</v>
      </c>
      <c r="I409" s="171">
        <v>60</v>
      </c>
      <c r="J409" s="172">
        <v>60</v>
      </c>
    </row>
    <row r="410" spans="1:10" x14ac:dyDescent="0.2">
      <c r="A410" s="125" t="s">
        <v>223</v>
      </c>
      <c r="B410" s="126">
        <f>ROUND(B408*B409*12,0)</f>
        <v>5400</v>
      </c>
      <c r="C410" s="126">
        <f t="shared" ref="C410:J410" si="146">ROUND(C408*C409*12,0)</f>
        <v>5400</v>
      </c>
      <c r="D410" s="126">
        <f t="shared" si="146"/>
        <v>5400</v>
      </c>
      <c r="E410" s="126">
        <f t="shared" si="146"/>
        <v>9180</v>
      </c>
      <c r="F410" s="126">
        <f t="shared" si="146"/>
        <v>9180</v>
      </c>
      <c r="G410" s="126">
        <f t="shared" si="146"/>
        <v>9180</v>
      </c>
      <c r="H410" s="126">
        <f t="shared" si="146"/>
        <v>14400</v>
      </c>
      <c r="I410" s="126">
        <f t="shared" si="146"/>
        <v>14400</v>
      </c>
      <c r="J410" s="82">
        <f t="shared" si="146"/>
        <v>14400</v>
      </c>
    </row>
    <row r="411" spans="1:10" x14ac:dyDescent="0.2">
      <c r="A411" s="26" t="s">
        <v>196</v>
      </c>
      <c r="B411" s="34"/>
      <c r="C411" s="34"/>
      <c r="D411" s="34"/>
      <c r="E411" s="34"/>
      <c r="F411" s="34"/>
      <c r="G411" s="34"/>
      <c r="H411" s="34"/>
      <c r="I411" s="34"/>
      <c r="J411" s="34"/>
    </row>
    <row r="412" spans="1:10" x14ac:dyDescent="0.2">
      <c r="A412" s="139" t="s">
        <v>230</v>
      </c>
      <c r="B412" s="169">
        <v>0.1</v>
      </c>
      <c r="C412" s="169">
        <v>0.08</v>
      </c>
      <c r="D412" s="169">
        <v>0.06</v>
      </c>
      <c r="E412" s="169">
        <f t="shared" ref="E412:J412" si="147">ROUND(0.05,2)</f>
        <v>0.05</v>
      </c>
      <c r="F412" s="169">
        <f t="shared" si="147"/>
        <v>0.05</v>
      </c>
      <c r="G412" s="169">
        <f t="shared" si="147"/>
        <v>0.05</v>
      </c>
      <c r="H412" s="169">
        <f t="shared" si="147"/>
        <v>0.05</v>
      </c>
      <c r="I412" s="169">
        <f t="shared" si="147"/>
        <v>0.05</v>
      </c>
      <c r="J412" s="170">
        <f t="shared" si="147"/>
        <v>0.05</v>
      </c>
    </row>
    <row r="413" spans="1:10" x14ac:dyDescent="0.2">
      <c r="A413" s="139" t="s">
        <v>232</v>
      </c>
      <c r="B413" s="126">
        <f>ROUND(SUM('10 EXS 1-9 Budgets'!B97:B111)-'10 EXS 1-9 Budgets'!B125,0)</f>
        <v>121214</v>
      </c>
      <c r="C413" s="126">
        <f>ROUND(SUM('10 EXS 1-9 Budgets'!C97:C111)-'10 EXS 1-9 Budgets'!C125,0)</f>
        <v>159546</v>
      </c>
      <c r="D413" s="126">
        <f>ROUND(SUM('10 EXS 1-9 Budgets'!D97:D111)-'10 EXS 1-9 Budgets'!D125,0)</f>
        <v>198448</v>
      </c>
      <c r="E413" s="126">
        <f>ROUND(SUM('10 EXS 1-9 Budgets'!E97:E111)-'10 EXS 1-9 Budgets'!E125,0)</f>
        <v>386224</v>
      </c>
      <c r="F413" s="126">
        <f>ROUND(SUM('10 EXS 1-9 Budgets'!F97:F111)-'10 EXS 1-9 Budgets'!F125,0)</f>
        <v>457324</v>
      </c>
      <c r="G413" s="126">
        <f>ROUND(SUM('10 EXS 1-9 Budgets'!G97:G111)-'10 EXS 1-9 Budgets'!G125,0)</f>
        <v>502235</v>
      </c>
      <c r="H413" s="126">
        <f>ROUND(SUM('10 EXS 1-9 Budgets'!H97:H111)-'10 EXS 1-9 Budgets'!H125,0)</f>
        <v>684166</v>
      </c>
      <c r="I413" s="126">
        <f>ROUND(SUM('10 EXS 1-9 Budgets'!I97:I111)-'10 EXS 1-9 Budgets'!I125,0)</f>
        <v>736527</v>
      </c>
      <c r="J413" s="82">
        <f>ROUND(SUM('10 EXS 1-9 Budgets'!J97:J111)-'10 EXS 1-9 Budgets'!J125,0)</f>
        <v>794228</v>
      </c>
    </row>
    <row r="414" spans="1:10" x14ac:dyDescent="0.2">
      <c r="A414" s="125" t="s">
        <v>231</v>
      </c>
      <c r="B414" s="126">
        <f>ROUND(B413*B412,0)</f>
        <v>12121</v>
      </c>
      <c r="C414" s="126">
        <f t="shared" ref="C414:J414" si="148">ROUND(C413*C412,0)</f>
        <v>12764</v>
      </c>
      <c r="D414" s="126">
        <f t="shared" si="148"/>
        <v>11907</v>
      </c>
      <c r="E414" s="126">
        <f t="shared" si="148"/>
        <v>19311</v>
      </c>
      <c r="F414" s="126">
        <f t="shared" si="148"/>
        <v>22866</v>
      </c>
      <c r="G414" s="126">
        <f t="shared" si="148"/>
        <v>25112</v>
      </c>
      <c r="H414" s="126">
        <f t="shared" si="148"/>
        <v>34208</v>
      </c>
      <c r="I414" s="126">
        <f t="shared" si="148"/>
        <v>36826</v>
      </c>
      <c r="J414" s="82">
        <f t="shared" si="148"/>
        <v>39711</v>
      </c>
    </row>
    <row r="415" spans="1:10" s="124" customFormat="1" x14ac:dyDescent="0.2">
      <c r="A415" s="36"/>
      <c r="B415" s="34"/>
      <c r="C415" s="34"/>
      <c r="D415" s="34"/>
      <c r="E415" s="34"/>
      <c r="F415" s="34"/>
      <c r="G415" s="34"/>
      <c r="H415" s="34"/>
      <c r="I415" s="34"/>
      <c r="J415" s="34"/>
    </row>
    <row r="416" spans="1:10" s="124" customFormat="1" x14ac:dyDescent="0.2">
      <c r="A416" s="502" t="s">
        <v>585</v>
      </c>
      <c r="B416" s="502"/>
      <c r="C416" s="502"/>
      <c r="D416" s="502"/>
      <c r="E416" s="502"/>
      <c r="F416" s="502"/>
      <c r="G416" s="502"/>
      <c r="H416" s="502"/>
      <c r="I416" s="502"/>
      <c r="J416" s="502"/>
    </row>
    <row r="417" spans="1:10" ht="14.25" customHeight="1" x14ac:dyDescent="0.2">
      <c r="A417" s="49" t="s">
        <v>197</v>
      </c>
    </row>
    <row r="418" spans="1:10" x14ac:dyDescent="0.2">
      <c r="A418" s="199" t="s">
        <v>113</v>
      </c>
      <c r="B418" s="67"/>
      <c r="C418" s="67"/>
      <c r="D418" s="67"/>
      <c r="E418" s="67"/>
      <c r="F418" s="67"/>
      <c r="G418" s="67"/>
      <c r="H418" s="67"/>
      <c r="I418" s="67"/>
      <c r="J418" s="67"/>
    </row>
    <row r="419" spans="1:10" x14ac:dyDescent="0.2">
      <c r="A419" s="139" t="s">
        <v>198</v>
      </c>
      <c r="B419" s="126">
        <f t="shared" ref="B419:J419" si="149">B238</f>
        <v>34675</v>
      </c>
      <c r="C419" s="126">
        <f t="shared" si="149"/>
        <v>52925</v>
      </c>
      <c r="D419" s="126">
        <f t="shared" si="149"/>
        <v>52925</v>
      </c>
      <c r="E419" s="126">
        <f t="shared" si="149"/>
        <v>52925</v>
      </c>
      <c r="F419" s="126">
        <f t="shared" si="149"/>
        <v>52925</v>
      </c>
      <c r="G419" s="126">
        <f t="shared" si="149"/>
        <v>52925</v>
      </c>
      <c r="H419" s="126">
        <f t="shared" si="149"/>
        <v>52925</v>
      </c>
      <c r="I419" s="126">
        <f t="shared" si="149"/>
        <v>52925</v>
      </c>
      <c r="J419" s="82">
        <f t="shared" si="149"/>
        <v>52925</v>
      </c>
    </row>
    <row r="420" spans="1:10" x14ac:dyDescent="0.2">
      <c r="A420" s="139" t="s">
        <v>199</v>
      </c>
      <c r="B420" s="169">
        <v>1</v>
      </c>
      <c r="C420" s="169">
        <v>0.65</v>
      </c>
      <c r="D420" s="169">
        <v>0.65</v>
      </c>
      <c r="E420" s="169">
        <v>0</v>
      </c>
      <c r="F420" s="169">
        <v>0</v>
      </c>
      <c r="G420" s="169">
        <v>0</v>
      </c>
      <c r="H420" s="169">
        <v>0</v>
      </c>
      <c r="I420" s="169">
        <v>0</v>
      </c>
      <c r="J420" s="170">
        <v>0</v>
      </c>
    </row>
    <row r="421" spans="1:10" x14ac:dyDescent="0.2">
      <c r="A421" s="139" t="s">
        <v>200</v>
      </c>
      <c r="B421" s="126">
        <f>ROUND(B420*B419,0)</f>
        <v>34675</v>
      </c>
      <c r="C421" s="126">
        <f t="shared" ref="C421:J421" si="150">ROUND(C420*C419,0)</f>
        <v>34401</v>
      </c>
      <c r="D421" s="126">
        <f t="shared" si="150"/>
        <v>34401</v>
      </c>
      <c r="E421" s="126">
        <f t="shared" si="150"/>
        <v>0</v>
      </c>
      <c r="F421" s="126">
        <f t="shared" si="150"/>
        <v>0</v>
      </c>
      <c r="G421" s="126">
        <f t="shared" si="150"/>
        <v>0</v>
      </c>
      <c r="H421" s="126">
        <f t="shared" si="150"/>
        <v>0</v>
      </c>
      <c r="I421" s="126">
        <f t="shared" si="150"/>
        <v>0</v>
      </c>
      <c r="J421" s="82">
        <f t="shared" si="150"/>
        <v>0</v>
      </c>
    </row>
    <row r="422" spans="1:10" x14ac:dyDescent="0.2">
      <c r="A422" s="139" t="s">
        <v>205</v>
      </c>
      <c r="B422" s="126">
        <f t="shared" ref="B422:J422" si="151">ROUND(B419*B262,)</f>
        <v>5201</v>
      </c>
      <c r="C422" s="126">
        <f t="shared" si="151"/>
        <v>7939</v>
      </c>
      <c r="D422" s="126">
        <f t="shared" si="151"/>
        <v>7939</v>
      </c>
      <c r="E422" s="126">
        <f t="shared" si="151"/>
        <v>7939</v>
      </c>
      <c r="F422" s="126">
        <f t="shared" si="151"/>
        <v>7939</v>
      </c>
      <c r="G422" s="126">
        <f t="shared" si="151"/>
        <v>7939</v>
      </c>
      <c r="H422" s="126">
        <f t="shared" si="151"/>
        <v>7939</v>
      </c>
      <c r="I422" s="126">
        <f t="shared" si="151"/>
        <v>7939</v>
      </c>
      <c r="J422" s="82">
        <f t="shared" si="151"/>
        <v>7939</v>
      </c>
    </row>
    <row r="423" spans="1:10" x14ac:dyDescent="0.2">
      <c r="A423" s="139" t="s">
        <v>199</v>
      </c>
      <c r="B423" s="169">
        <v>1</v>
      </c>
      <c r="C423" s="169">
        <v>0.65</v>
      </c>
      <c r="D423" s="169">
        <v>0.65</v>
      </c>
      <c r="E423" s="169">
        <v>0</v>
      </c>
      <c r="F423" s="169">
        <v>0</v>
      </c>
      <c r="G423" s="169">
        <v>0</v>
      </c>
      <c r="H423" s="169">
        <v>0</v>
      </c>
      <c r="I423" s="169">
        <v>0</v>
      </c>
      <c r="J423" s="170">
        <v>0</v>
      </c>
    </row>
    <row r="424" spans="1:10" x14ac:dyDescent="0.2">
      <c r="A424" s="139" t="s">
        <v>206</v>
      </c>
      <c r="B424" s="126">
        <f>ROUND(B423*B422,0)</f>
        <v>5201</v>
      </c>
      <c r="C424" s="126">
        <f t="shared" ref="C424:J424" si="152">ROUND(C423*C422,0)</f>
        <v>5160</v>
      </c>
      <c r="D424" s="126">
        <f t="shared" si="152"/>
        <v>5160</v>
      </c>
      <c r="E424" s="126">
        <f t="shared" si="152"/>
        <v>0</v>
      </c>
      <c r="F424" s="126">
        <f t="shared" si="152"/>
        <v>0</v>
      </c>
      <c r="G424" s="126">
        <f t="shared" si="152"/>
        <v>0</v>
      </c>
      <c r="H424" s="126">
        <f t="shared" si="152"/>
        <v>0</v>
      </c>
      <c r="I424" s="126">
        <f t="shared" si="152"/>
        <v>0</v>
      </c>
      <c r="J424" s="82">
        <f t="shared" si="152"/>
        <v>0</v>
      </c>
    </row>
    <row r="425" spans="1:10" x14ac:dyDescent="0.2">
      <c r="A425" s="139" t="s">
        <v>201</v>
      </c>
      <c r="B425" s="126">
        <f t="shared" ref="B425:J425" si="153">ROUND(B162,0)</f>
        <v>1588</v>
      </c>
      <c r="C425" s="126">
        <f t="shared" si="153"/>
        <v>1588</v>
      </c>
      <c r="D425" s="126">
        <f t="shared" si="153"/>
        <v>1588</v>
      </c>
      <c r="E425" s="126">
        <f t="shared" si="153"/>
        <v>1588</v>
      </c>
      <c r="F425" s="126">
        <f t="shared" si="153"/>
        <v>1588</v>
      </c>
      <c r="G425" s="126">
        <f t="shared" si="153"/>
        <v>1588</v>
      </c>
      <c r="H425" s="126">
        <f t="shared" si="153"/>
        <v>1588</v>
      </c>
      <c r="I425" s="126">
        <f t="shared" si="153"/>
        <v>1588</v>
      </c>
      <c r="J425" s="82">
        <f t="shared" si="153"/>
        <v>1588</v>
      </c>
    </row>
    <row r="426" spans="1:10" x14ac:dyDescent="0.2">
      <c r="A426" s="139" t="s">
        <v>199</v>
      </c>
      <c r="B426" s="169">
        <v>1</v>
      </c>
      <c r="C426" s="169">
        <v>1</v>
      </c>
      <c r="D426" s="169">
        <v>1</v>
      </c>
      <c r="E426" s="169">
        <v>0</v>
      </c>
      <c r="F426" s="169">
        <v>0</v>
      </c>
      <c r="G426" s="169">
        <v>0</v>
      </c>
      <c r="H426" s="169">
        <v>0</v>
      </c>
      <c r="I426" s="169">
        <v>0</v>
      </c>
      <c r="J426" s="170">
        <v>0</v>
      </c>
    </row>
    <row r="427" spans="1:10" x14ac:dyDescent="0.2">
      <c r="A427" s="139" t="s">
        <v>202</v>
      </c>
      <c r="B427" s="126">
        <f>ROUND(B426*B425,0)</f>
        <v>1588</v>
      </c>
      <c r="C427" s="126">
        <f t="shared" ref="C427:J427" si="154">ROUND(C426*C425,0)</f>
        <v>1588</v>
      </c>
      <c r="D427" s="126">
        <f t="shared" si="154"/>
        <v>1588</v>
      </c>
      <c r="E427" s="126">
        <f t="shared" si="154"/>
        <v>0</v>
      </c>
      <c r="F427" s="126">
        <f t="shared" si="154"/>
        <v>0</v>
      </c>
      <c r="G427" s="126">
        <f t="shared" si="154"/>
        <v>0</v>
      </c>
      <c r="H427" s="126">
        <f t="shared" si="154"/>
        <v>0</v>
      </c>
      <c r="I427" s="126">
        <f t="shared" si="154"/>
        <v>0</v>
      </c>
      <c r="J427" s="82">
        <f t="shared" si="154"/>
        <v>0</v>
      </c>
    </row>
    <row r="428" spans="1:10" x14ac:dyDescent="0.2">
      <c r="A428" s="139" t="s">
        <v>203</v>
      </c>
      <c r="B428" s="126">
        <f t="shared" ref="B428:J428" si="155">ROUND(B164,0)</f>
        <v>0</v>
      </c>
      <c r="C428" s="126">
        <f t="shared" si="155"/>
        <v>924</v>
      </c>
      <c r="D428" s="126">
        <f t="shared" si="155"/>
        <v>924</v>
      </c>
      <c r="E428" s="126">
        <f t="shared" si="155"/>
        <v>1849</v>
      </c>
      <c r="F428" s="126">
        <f t="shared" si="155"/>
        <v>1849</v>
      </c>
      <c r="G428" s="126">
        <f t="shared" si="155"/>
        <v>1849</v>
      </c>
      <c r="H428" s="126">
        <f t="shared" si="155"/>
        <v>2219</v>
      </c>
      <c r="I428" s="126">
        <f t="shared" si="155"/>
        <v>2664</v>
      </c>
      <c r="J428" s="82">
        <f t="shared" si="155"/>
        <v>3698</v>
      </c>
    </row>
    <row r="429" spans="1:10" x14ac:dyDescent="0.2">
      <c r="A429" s="139" t="s">
        <v>199</v>
      </c>
      <c r="B429" s="169">
        <v>1</v>
      </c>
      <c r="C429" s="169">
        <v>1</v>
      </c>
      <c r="D429" s="169">
        <v>1</v>
      </c>
      <c r="E429" s="169">
        <v>0</v>
      </c>
      <c r="F429" s="169">
        <v>0</v>
      </c>
      <c r="G429" s="169">
        <v>0</v>
      </c>
      <c r="H429" s="169">
        <v>0</v>
      </c>
      <c r="I429" s="169">
        <v>0</v>
      </c>
      <c r="J429" s="170">
        <v>0</v>
      </c>
    </row>
    <row r="430" spans="1:10" x14ac:dyDescent="0.2">
      <c r="A430" s="155" t="s">
        <v>204</v>
      </c>
      <c r="B430" s="126">
        <f>ROUND(B429*B428,0)</f>
        <v>0</v>
      </c>
      <c r="C430" s="126">
        <f t="shared" ref="C430:J430" si="156">ROUND(C429*C428,0)</f>
        <v>924</v>
      </c>
      <c r="D430" s="126">
        <f t="shared" si="156"/>
        <v>924</v>
      </c>
      <c r="E430" s="126">
        <f t="shared" si="156"/>
        <v>0</v>
      </c>
      <c r="F430" s="126">
        <f t="shared" si="156"/>
        <v>0</v>
      </c>
      <c r="G430" s="126">
        <f t="shared" si="156"/>
        <v>0</v>
      </c>
      <c r="H430" s="126">
        <f t="shared" si="156"/>
        <v>0</v>
      </c>
      <c r="I430" s="126">
        <f t="shared" si="156"/>
        <v>0</v>
      </c>
      <c r="J430" s="82">
        <f t="shared" si="156"/>
        <v>0</v>
      </c>
    </row>
    <row r="431" spans="1:10" x14ac:dyDescent="0.2">
      <c r="A431" s="45" t="s">
        <v>118</v>
      </c>
    </row>
    <row r="432" spans="1:10" x14ac:dyDescent="0.2">
      <c r="A432" s="139" t="s">
        <v>198</v>
      </c>
      <c r="B432" s="126">
        <f t="shared" ref="B432:J432" si="157">ROUND(B244,0)</f>
        <v>34675</v>
      </c>
      <c r="C432" s="126">
        <f t="shared" si="157"/>
        <v>52925</v>
      </c>
      <c r="D432" s="126">
        <f t="shared" si="157"/>
        <v>52925</v>
      </c>
      <c r="E432" s="126">
        <f t="shared" si="157"/>
        <v>52925</v>
      </c>
      <c r="F432" s="126">
        <f t="shared" si="157"/>
        <v>52925</v>
      </c>
      <c r="G432" s="126">
        <f t="shared" si="157"/>
        <v>52925</v>
      </c>
      <c r="H432" s="126">
        <f t="shared" si="157"/>
        <v>52925</v>
      </c>
      <c r="I432" s="126">
        <f t="shared" si="157"/>
        <v>54750</v>
      </c>
      <c r="J432" s="82">
        <f t="shared" si="157"/>
        <v>54750</v>
      </c>
    </row>
    <row r="433" spans="1:10" x14ac:dyDescent="0.2">
      <c r="A433" s="139" t="s">
        <v>199</v>
      </c>
      <c r="B433" s="169">
        <v>1</v>
      </c>
      <c r="C433" s="169">
        <v>0.65</v>
      </c>
      <c r="D433" s="169">
        <v>0.65</v>
      </c>
      <c r="E433" s="169">
        <v>0</v>
      </c>
      <c r="F433" s="169">
        <v>0</v>
      </c>
      <c r="G433" s="169">
        <v>0</v>
      </c>
      <c r="H433" s="169">
        <v>0</v>
      </c>
      <c r="I433" s="169">
        <v>0</v>
      </c>
      <c r="J433" s="170">
        <v>0</v>
      </c>
    </row>
    <row r="434" spans="1:10" x14ac:dyDescent="0.2">
      <c r="A434" s="139" t="s">
        <v>200</v>
      </c>
      <c r="B434" s="126">
        <f>ROUND(B433*B432,0)</f>
        <v>34675</v>
      </c>
      <c r="C434" s="126">
        <f t="shared" ref="C434:J434" si="158">ROUND(C433*C432,0)</f>
        <v>34401</v>
      </c>
      <c r="D434" s="126">
        <f t="shared" si="158"/>
        <v>34401</v>
      </c>
      <c r="E434" s="126">
        <f t="shared" si="158"/>
        <v>0</v>
      </c>
      <c r="F434" s="126">
        <f t="shared" si="158"/>
        <v>0</v>
      </c>
      <c r="G434" s="126">
        <f t="shared" si="158"/>
        <v>0</v>
      </c>
      <c r="H434" s="126">
        <f t="shared" si="158"/>
        <v>0</v>
      </c>
      <c r="I434" s="126">
        <f t="shared" si="158"/>
        <v>0</v>
      </c>
      <c r="J434" s="82">
        <f t="shared" si="158"/>
        <v>0</v>
      </c>
    </row>
    <row r="435" spans="1:10" x14ac:dyDescent="0.2">
      <c r="A435" s="139" t="s">
        <v>205</v>
      </c>
      <c r="B435" s="126">
        <f t="shared" ref="B435:J435" si="159">ROUND(B432*B262,)</f>
        <v>5201</v>
      </c>
      <c r="C435" s="126">
        <f t="shared" si="159"/>
        <v>7939</v>
      </c>
      <c r="D435" s="126">
        <f t="shared" si="159"/>
        <v>7939</v>
      </c>
      <c r="E435" s="126">
        <f t="shared" si="159"/>
        <v>7939</v>
      </c>
      <c r="F435" s="126">
        <f t="shared" si="159"/>
        <v>7939</v>
      </c>
      <c r="G435" s="126">
        <f t="shared" si="159"/>
        <v>7939</v>
      </c>
      <c r="H435" s="126">
        <f t="shared" si="159"/>
        <v>7939</v>
      </c>
      <c r="I435" s="126">
        <f t="shared" si="159"/>
        <v>8213</v>
      </c>
      <c r="J435" s="82">
        <f t="shared" si="159"/>
        <v>8213</v>
      </c>
    </row>
    <row r="436" spans="1:10" x14ac:dyDescent="0.2">
      <c r="A436" s="139" t="s">
        <v>199</v>
      </c>
      <c r="B436" s="169">
        <v>1</v>
      </c>
      <c r="C436" s="169">
        <v>0.65</v>
      </c>
      <c r="D436" s="169">
        <v>0.65</v>
      </c>
      <c r="E436" s="169">
        <v>0</v>
      </c>
      <c r="F436" s="169">
        <v>0</v>
      </c>
      <c r="G436" s="169">
        <v>0</v>
      </c>
      <c r="H436" s="169">
        <v>0</v>
      </c>
      <c r="I436" s="169">
        <v>0</v>
      </c>
      <c r="J436" s="170">
        <v>0</v>
      </c>
    </row>
    <row r="437" spans="1:10" x14ac:dyDescent="0.2">
      <c r="A437" s="139" t="s">
        <v>206</v>
      </c>
      <c r="B437" s="126">
        <f>ROUND(B436*B435,0)</f>
        <v>5201</v>
      </c>
      <c r="C437" s="126">
        <f t="shared" ref="C437:J437" si="160">ROUND(C436*C435,0)</f>
        <v>5160</v>
      </c>
      <c r="D437" s="126">
        <f t="shared" si="160"/>
        <v>5160</v>
      </c>
      <c r="E437" s="126">
        <f t="shared" si="160"/>
        <v>0</v>
      </c>
      <c r="F437" s="126">
        <f t="shared" si="160"/>
        <v>0</v>
      </c>
      <c r="G437" s="126">
        <f t="shared" si="160"/>
        <v>0</v>
      </c>
      <c r="H437" s="126">
        <f t="shared" si="160"/>
        <v>0</v>
      </c>
      <c r="I437" s="126">
        <f t="shared" si="160"/>
        <v>0</v>
      </c>
      <c r="J437" s="82">
        <f t="shared" si="160"/>
        <v>0</v>
      </c>
    </row>
    <row r="438" spans="1:10" x14ac:dyDescent="0.2">
      <c r="A438" s="139" t="s">
        <v>201</v>
      </c>
      <c r="B438" s="126">
        <f t="shared" ref="B438:J438" si="161">ROUND(B183,0)</f>
        <v>1588</v>
      </c>
      <c r="C438" s="126">
        <f t="shared" si="161"/>
        <v>1588</v>
      </c>
      <c r="D438" s="126">
        <f t="shared" si="161"/>
        <v>1588</v>
      </c>
      <c r="E438" s="126">
        <f t="shared" si="161"/>
        <v>1588</v>
      </c>
      <c r="F438" s="126">
        <f t="shared" si="161"/>
        <v>1588</v>
      </c>
      <c r="G438" s="126">
        <f t="shared" si="161"/>
        <v>1588</v>
      </c>
      <c r="H438" s="126">
        <f t="shared" si="161"/>
        <v>1588</v>
      </c>
      <c r="I438" s="126">
        <f t="shared" si="161"/>
        <v>1643</v>
      </c>
      <c r="J438" s="82">
        <f t="shared" si="161"/>
        <v>1643</v>
      </c>
    </row>
    <row r="439" spans="1:10" x14ac:dyDescent="0.2">
      <c r="A439" s="139" t="s">
        <v>199</v>
      </c>
      <c r="B439" s="169">
        <v>1</v>
      </c>
      <c r="C439" s="169">
        <v>1</v>
      </c>
      <c r="D439" s="169">
        <v>1</v>
      </c>
      <c r="E439" s="169">
        <v>0</v>
      </c>
      <c r="F439" s="169">
        <v>0</v>
      </c>
      <c r="G439" s="169">
        <v>0</v>
      </c>
      <c r="H439" s="169">
        <v>0</v>
      </c>
      <c r="I439" s="169">
        <v>0</v>
      </c>
      <c r="J439" s="170">
        <v>0</v>
      </c>
    </row>
    <row r="440" spans="1:10" x14ac:dyDescent="0.2">
      <c r="A440" s="139" t="s">
        <v>202</v>
      </c>
      <c r="B440" s="126">
        <f>ROUND(B439*B438,0)</f>
        <v>1588</v>
      </c>
      <c r="C440" s="126">
        <f t="shared" ref="C440:J440" si="162">ROUND(C439*C438,0)</f>
        <v>1588</v>
      </c>
      <c r="D440" s="126">
        <f t="shared" si="162"/>
        <v>1588</v>
      </c>
      <c r="E440" s="126">
        <f t="shared" si="162"/>
        <v>0</v>
      </c>
      <c r="F440" s="126">
        <f t="shared" si="162"/>
        <v>0</v>
      </c>
      <c r="G440" s="126">
        <f t="shared" si="162"/>
        <v>0</v>
      </c>
      <c r="H440" s="126">
        <f t="shared" si="162"/>
        <v>0</v>
      </c>
      <c r="I440" s="126">
        <f t="shared" si="162"/>
        <v>0</v>
      </c>
      <c r="J440" s="82">
        <f t="shared" si="162"/>
        <v>0</v>
      </c>
    </row>
    <row r="441" spans="1:10" x14ac:dyDescent="0.2">
      <c r="A441" s="139" t="s">
        <v>203</v>
      </c>
      <c r="B441" s="126">
        <f t="shared" ref="B441:J441" si="163">ROUND(B185,0)</f>
        <v>0</v>
      </c>
      <c r="C441" s="126">
        <f t="shared" si="163"/>
        <v>924</v>
      </c>
      <c r="D441" s="126">
        <f t="shared" si="163"/>
        <v>924</v>
      </c>
      <c r="E441" s="126">
        <f t="shared" si="163"/>
        <v>1849</v>
      </c>
      <c r="F441" s="126">
        <f t="shared" si="163"/>
        <v>1849</v>
      </c>
      <c r="G441" s="126">
        <f t="shared" si="163"/>
        <v>1849</v>
      </c>
      <c r="H441" s="126">
        <f t="shared" si="163"/>
        <v>2219</v>
      </c>
      <c r="I441" s="126">
        <f t="shared" si="163"/>
        <v>2756</v>
      </c>
      <c r="J441" s="82">
        <f t="shared" si="163"/>
        <v>3825</v>
      </c>
    </row>
    <row r="442" spans="1:10" x14ac:dyDescent="0.2">
      <c r="A442" s="139" t="s">
        <v>199</v>
      </c>
      <c r="B442" s="169">
        <v>1</v>
      </c>
      <c r="C442" s="169">
        <v>1</v>
      </c>
      <c r="D442" s="169">
        <v>1</v>
      </c>
      <c r="E442" s="169">
        <v>0</v>
      </c>
      <c r="F442" s="169">
        <v>0</v>
      </c>
      <c r="G442" s="169">
        <v>0</v>
      </c>
      <c r="H442" s="169">
        <v>0</v>
      </c>
      <c r="I442" s="169">
        <v>0</v>
      </c>
      <c r="J442" s="170">
        <v>0</v>
      </c>
    </row>
    <row r="443" spans="1:10" x14ac:dyDescent="0.2">
      <c r="A443" s="155" t="s">
        <v>204</v>
      </c>
      <c r="B443" s="126">
        <f>ROUND(B442*B441,0)</f>
        <v>0</v>
      </c>
      <c r="C443" s="126">
        <f t="shared" ref="C443:J443" si="164">ROUND(C442*C441,0)</f>
        <v>924</v>
      </c>
      <c r="D443" s="126">
        <f t="shared" si="164"/>
        <v>924</v>
      </c>
      <c r="E443" s="126">
        <f t="shared" si="164"/>
        <v>0</v>
      </c>
      <c r="F443" s="126">
        <f t="shared" si="164"/>
        <v>0</v>
      </c>
      <c r="G443" s="126">
        <f t="shared" si="164"/>
        <v>0</v>
      </c>
      <c r="H443" s="126">
        <f t="shared" si="164"/>
        <v>0</v>
      </c>
      <c r="I443" s="126">
        <f t="shared" si="164"/>
        <v>0</v>
      </c>
      <c r="J443" s="82">
        <f t="shared" si="164"/>
        <v>0</v>
      </c>
    </row>
    <row r="444" spans="1:10" s="124" customFormat="1" x14ac:dyDescent="0.2">
      <c r="A444" s="36"/>
      <c r="B444" s="34"/>
      <c r="C444" s="34"/>
      <c r="D444" s="34"/>
      <c r="E444" s="34"/>
      <c r="F444" s="34"/>
      <c r="G444" s="34"/>
      <c r="H444" s="34"/>
      <c r="I444" s="34"/>
      <c r="J444" s="34"/>
    </row>
    <row r="445" spans="1:10" s="124" customFormat="1" ht="12" customHeight="1" x14ac:dyDescent="0.2">
      <c r="A445" s="502" t="s">
        <v>586</v>
      </c>
      <c r="B445" s="502"/>
      <c r="C445" s="502"/>
      <c r="D445" s="502"/>
      <c r="E445" s="502"/>
      <c r="F445" s="502"/>
      <c r="G445" s="502"/>
      <c r="H445" s="502"/>
      <c r="I445" s="502"/>
      <c r="J445" s="502"/>
    </row>
    <row r="446" spans="1:10" x14ac:dyDescent="0.2">
      <c r="A446" s="139" t="s">
        <v>198</v>
      </c>
      <c r="B446" s="126">
        <f t="shared" ref="B446:J446" si="165">ROUND(B250,0)</f>
        <v>0</v>
      </c>
      <c r="C446" s="126">
        <f t="shared" si="165"/>
        <v>0</v>
      </c>
      <c r="D446" s="126">
        <f t="shared" si="165"/>
        <v>0</v>
      </c>
      <c r="E446" s="126">
        <f t="shared" si="165"/>
        <v>15600</v>
      </c>
      <c r="F446" s="126">
        <f t="shared" si="165"/>
        <v>15600</v>
      </c>
      <c r="G446" s="126">
        <f t="shared" si="165"/>
        <v>15600</v>
      </c>
      <c r="H446" s="126">
        <f t="shared" si="165"/>
        <v>54750</v>
      </c>
      <c r="I446" s="126">
        <f t="shared" si="165"/>
        <v>54750</v>
      </c>
      <c r="J446" s="82">
        <f t="shared" si="165"/>
        <v>54750</v>
      </c>
    </row>
    <row r="447" spans="1:10" x14ac:dyDescent="0.2">
      <c r="A447" s="139" t="s">
        <v>199</v>
      </c>
      <c r="B447" s="169">
        <v>0</v>
      </c>
      <c r="C447" s="169">
        <v>0</v>
      </c>
      <c r="D447" s="169">
        <v>0</v>
      </c>
      <c r="E447" s="169">
        <v>0</v>
      </c>
      <c r="F447" s="169">
        <v>0</v>
      </c>
      <c r="G447" s="169">
        <v>0</v>
      </c>
      <c r="H447" s="169">
        <v>0</v>
      </c>
      <c r="I447" s="169">
        <v>0</v>
      </c>
      <c r="J447" s="170">
        <v>0</v>
      </c>
    </row>
    <row r="448" spans="1:10" x14ac:dyDescent="0.2">
      <c r="A448" s="139" t="s">
        <v>200</v>
      </c>
      <c r="B448" s="126">
        <f>ROUND(B447*B446,0)</f>
        <v>0</v>
      </c>
      <c r="C448" s="126">
        <f t="shared" ref="C448:J448" si="166">ROUND(C447*C446,0)</f>
        <v>0</v>
      </c>
      <c r="D448" s="126">
        <f t="shared" si="166"/>
        <v>0</v>
      </c>
      <c r="E448" s="126">
        <f t="shared" si="166"/>
        <v>0</v>
      </c>
      <c r="F448" s="126">
        <f t="shared" si="166"/>
        <v>0</v>
      </c>
      <c r="G448" s="126">
        <f t="shared" si="166"/>
        <v>0</v>
      </c>
      <c r="H448" s="126">
        <f t="shared" si="166"/>
        <v>0</v>
      </c>
      <c r="I448" s="126">
        <f t="shared" si="166"/>
        <v>0</v>
      </c>
      <c r="J448" s="82">
        <f t="shared" si="166"/>
        <v>0</v>
      </c>
    </row>
    <row r="449" spans="1:10" x14ac:dyDescent="0.2">
      <c r="A449" s="139" t="s">
        <v>205</v>
      </c>
      <c r="B449" s="126">
        <f t="shared" ref="B449:J449" si="167">ROUND(B446*B262,)</f>
        <v>0</v>
      </c>
      <c r="C449" s="126">
        <f t="shared" si="167"/>
        <v>0</v>
      </c>
      <c r="D449" s="126">
        <f t="shared" si="167"/>
        <v>0</v>
      </c>
      <c r="E449" s="126">
        <f t="shared" si="167"/>
        <v>2340</v>
      </c>
      <c r="F449" s="126">
        <f t="shared" si="167"/>
        <v>2340</v>
      </c>
      <c r="G449" s="126">
        <f t="shared" si="167"/>
        <v>2340</v>
      </c>
      <c r="H449" s="126">
        <f t="shared" si="167"/>
        <v>8213</v>
      </c>
      <c r="I449" s="126">
        <f t="shared" si="167"/>
        <v>8213</v>
      </c>
      <c r="J449" s="82">
        <f t="shared" si="167"/>
        <v>8213</v>
      </c>
    </row>
    <row r="450" spans="1:10" x14ac:dyDescent="0.2">
      <c r="A450" s="139" t="s">
        <v>199</v>
      </c>
      <c r="B450" s="169">
        <v>0</v>
      </c>
      <c r="C450" s="169">
        <v>0</v>
      </c>
      <c r="D450" s="169">
        <v>0</v>
      </c>
      <c r="E450" s="169">
        <v>0</v>
      </c>
      <c r="F450" s="169">
        <v>0</v>
      </c>
      <c r="G450" s="169">
        <v>0</v>
      </c>
      <c r="H450" s="169">
        <v>0</v>
      </c>
      <c r="I450" s="169">
        <v>0</v>
      </c>
      <c r="J450" s="170">
        <v>0</v>
      </c>
    </row>
    <row r="451" spans="1:10" x14ac:dyDescent="0.2">
      <c r="A451" s="139" t="s">
        <v>206</v>
      </c>
      <c r="B451" s="126">
        <f>ROUND(B450*B449,0)</f>
        <v>0</v>
      </c>
      <c r="C451" s="126">
        <f t="shared" ref="C451:J451" si="168">ROUND(C450*C449,0)</f>
        <v>0</v>
      </c>
      <c r="D451" s="126">
        <f t="shared" si="168"/>
        <v>0</v>
      </c>
      <c r="E451" s="126">
        <f t="shared" si="168"/>
        <v>0</v>
      </c>
      <c r="F451" s="126">
        <f t="shared" si="168"/>
        <v>0</v>
      </c>
      <c r="G451" s="126">
        <f t="shared" si="168"/>
        <v>0</v>
      </c>
      <c r="H451" s="126">
        <f t="shared" si="168"/>
        <v>0</v>
      </c>
      <c r="I451" s="126">
        <f t="shared" si="168"/>
        <v>0</v>
      </c>
      <c r="J451" s="82">
        <f t="shared" si="168"/>
        <v>0</v>
      </c>
    </row>
    <row r="452" spans="1:10" x14ac:dyDescent="0.2">
      <c r="A452" s="139" t="s">
        <v>201</v>
      </c>
      <c r="B452" s="126">
        <f t="shared" ref="B452:J452" si="169">ROUND(B207,0)</f>
        <v>0</v>
      </c>
      <c r="C452" s="126">
        <f t="shared" si="169"/>
        <v>0</v>
      </c>
      <c r="D452" s="126">
        <f t="shared" si="169"/>
        <v>0</v>
      </c>
      <c r="E452" s="126">
        <f t="shared" si="169"/>
        <v>1643</v>
      </c>
      <c r="F452" s="126">
        <f t="shared" si="169"/>
        <v>1643</v>
      </c>
      <c r="G452" s="126">
        <f t="shared" si="169"/>
        <v>1643</v>
      </c>
      <c r="H452" s="126">
        <f t="shared" si="169"/>
        <v>1643</v>
      </c>
      <c r="I452" s="126">
        <f t="shared" si="169"/>
        <v>1643</v>
      </c>
      <c r="J452" s="82">
        <f t="shared" si="169"/>
        <v>1643</v>
      </c>
    </row>
    <row r="453" spans="1:10" x14ac:dyDescent="0.2">
      <c r="A453" s="139" t="s">
        <v>199</v>
      </c>
      <c r="B453" s="169">
        <v>0</v>
      </c>
      <c r="C453" s="169">
        <v>0</v>
      </c>
      <c r="D453" s="169">
        <v>0</v>
      </c>
      <c r="E453" s="169">
        <v>0</v>
      </c>
      <c r="F453" s="169">
        <v>0</v>
      </c>
      <c r="G453" s="169">
        <v>0</v>
      </c>
      <c r="H453" s="169">
        <v>0</v>
      </c>
      <c r="I453" s="169">
        <v>0</v>
      </c>
      <c r="J453" s="170">
        <v>0</v>
      </c>
    </row>
    <row r="454" spans="1:10" x14ac:dyDescent="0.2">
      <c r="A454" s="139" t="s">
        <v>202</v>
      </c>
      <c r="B454" s="126">
        <f>ROUND(B453*B452,0)</f>
        <v>0</v>
      </c>
      <c r="C454" s="126">
        <f t="shared" ref="C454:J454" si="170">ROUND(C453*C452,0)</f>
        <v>0</v>
      </c>
      <c r="D454" s="126">
        <f t="shared" si="170"/>
        <v>0</v>
      </c>
      <c r="E454" s="126">
        <f t="shared" si="170"/>
        <v>0</v>
      </c>
      <c r="F454" s="126">
        <f t="shared" si="170"/>
        <v>0</v>
      </c>
      <c r="G454" s="126">
        <f t="shared" si="170"/>
        <v>0</v>
      </c>
      <c r="H454" s="126">
        <f t="shared" si="170"/>
        <v>0</v>
      </c>
      <c r="I454" s="126">
        <f t="shared" si="170"/>
        <v>0</v>
      </c>
      <c r="J454" s="82">
        <f t="shared" si="170"/>
        <v>0</v>
      </c>
    </row>
    <row r="455" spans="1:10" x14ac:dyDescent="0.2">
      <c r="A455" s="139" t="s">
        <v>203</v>
      </c>
      <c r="B455" s="126">
        <f t="shared" ref="B455:J455" si="171">ROUND(B209,0)</f>
        <v>0</v>
      </c>
      <c r="C455" s="126">
        <f t="shared" si="171"/>
        <v>0</v>
      </c>
      <c r="D455" s="126">
        <f t="shared" si="171"/>
        <v>0</v>
      </c>
      <c r="E455" s="126">
        <f t="shared" si="171"/>
        <v>1913</v>
      </c>
      <c r="F455" s="126">
        <f t="shared" si="171"/>
        <v>1913</v>
      </c>
      <c r="G455" s="126">
        <f t="shared" si="171"/>
        <v>1913</v>
      </c>
      <c r="H455" s="126">
        <f t="shared" si="171"/>
        <v>2295</v>
      </c>
      <c r="I455" s="126">
        <f t="shared" si="171"/>
        <v>2756</v>
      </c>
      <c r="J455" s="82">
        <f t="shared" si="171"/>
        <v>3825</v>
      </c>
    </row>
    <row r="456" spans="1:10" x14ac:dyDescent="0.2">
      <c r="A456" s="139" t="s">
        <v>199</v>
      </c>
      <c r="B456" s="169">
        <v>0</v>
      </c>
      <c r="C456" s="169">
        <v>0</v>
      </c>
      <c r="D456" s="169">
        <v>0</v>
      </c>
      <c r="E456" s="169">
        <v>0</v>
      </c>
      <c r="F456" s="169">
        <v>0</v>
      </c>
      <c r="G456" s="169">
        <v>0</v>
      </c>
      <c r="H456" s="169">
        <v>0</v>
      </c>
      <c r="I456" s="169">
        <v>0</v>
      </c>
      <c r="J456" s="170">
        <v>0</v>
      </c>
    </row>
    <row r="457" spans="1:10" x14ac:dyDescent="0.2">
      <c r="A457" s="155" t="s">
        <v>204</v>
      </c>
      <c r="B457" s="126">
        <f>ROUND(B456*B455,0)</f>
        <v>0</v>
      </c>
      <c r="C457" s="126">
        <f t="shared" ref="C457:J457" si="172">ROUND(C456*C455,0)</f>
        <v>0</v>
      </c>
      <c r="D457" s="126">
        <f t="shared" si="172"/>
        <v>0</v>
      </c>
      <c r="E457" s="126">
        <f t="shared" si="172"/>
        <v>0</v>
      </c>
      <c r="F457" s="126">
        <f t="shared" si="172"/>
        <v>0</v>
      </c>
      <c r="G457" s="126">
        <f t="shared" si="172"/>
        <v>0</v>
      </c>
      <c r="H457" s="126">
        <f t="shared" si="172"/>
        <v>0</v>
      </c>
      <c r="I457" s="126">
        <f t="shared" si="172"/>
        <v>0</v>
      </c>
      <c r="J457" s="82">
        <f t="shared" si="172"/>
        <v>0</v>
      </c>
    </row>
    <row r="458" spans="1:10" x14ac:dyDescent="0.2">
      <c r="A458" s="45" t="s">
        <v>120</v>
      </c>
    </row>
    <row r="459" spans="1:10" x14ac:dyDescent="0.2">
      <c r="A459" s="139" t="s">
        <v>198</v>
      </c>
      <c r="B459" s="126">
        <f t="shared" ref="B459:J459" si="173">ROUND(B259,0)</f>
        <v>0</v>
      </c>
      <c r="C459" s="126">
        <f t="shared" si="173"/>
        <v>0</v>
      </c>
      <c r="D459" s="126">
        <f t="shared" si="173"/>
        <v>0</v>
      </c>
      <c r="E459" s="126">
        <f t="shared" si="173"/>
        <v>15600</v>
      </c>
      <c r="F459" s="126">
        <f t="shared" si="173"/>
        <v>15600</v>
      </c>
      <c r="G459" s="126">
        <f t="shared" si="173"/>
        <v>15600</v>
      </c>
      <c r="H459" s="126">
        <f t="shared" si="173"/>
        <v>58400</v>
      </c>
      <c r="I459" s="126">
        <f t="shared" si="173"/>
        <v>62050</v>
      </c>
      <c r="J459" s="82">
        <f t="shared" si="173"/>
        <v>65700</v>
      </c>
    </row>
    <row r="460" spans="1:10" x14ac:dyDescent="0.2">
      <c r="A460" s="139" t="s">
        <v>199</v>
      </c>
      <c r="B460" s="169">
        <v>0</v>
      </c>
      <c r="C460" s="169">
        <v>0</v>
      </c>
      <c r="D460" s="169">
        <v>0</v>
      </c>
      <c r="E460" s="169">
        <v>0</v>
      </c>
      <c r="F460" s="169">
        <v>0</v>
      </c>
      <c r="G460" s="169">
        <v>0</v>
      </c>
      <c r="H460" s="169">
        <v>0</v>
      </c>
      <c r="I460" s="169">
        <v>0</v>
      </c>
      <c r="J460" s="170">
        <v>0</v>
      </c>
    </row>
    <row r="461" spans="1:10" x14ac:dyDescent="0.2">
      <c r="A461" s="139" t="s">
        <v>200</v>
      </c>
      <c r="B461" s="126">
        <f>ROUND(B460*B459,0)</f>
        <v>0</v>
      </c>
      <c r="C461" s="126">
        <f t="shared" ref="C461:J461" si="174">ROUND(C460*C459,0)</f>
        <v>0</v>
      </c>
      <c r="D461" s="126">
        <f t="shared" si="174"/>
        <v>0</v>
      </c>
      <c r="E461" s="126">
        <f t="shared" si="174"/>
        <v>0</v>
      </c>
      <c r="F461" s="126">
        <f t="shared" si="174"/>
        <v>0</v>
      </c>
      <c r="G461" s="126">
        <f t="shared" si="174"/>
        <v>0</v>
      </c>
      <c r="H461" s="126">
        <f t="shared" si="174"/>
        <v>0</v>
      </c>
      <c r="I461" s="126">
        <f t="shared" si="174"/>
        <v>0</v>
      </c>
      <c r="J461" s="82">
        <f t="shared" si="174"/>
        <v>0</v>
      </c>
    </row>
    <row r="462" spans="1:10" x14ac:dyDescent="0.2">
      <c r="A462" s="139" t="s">
        <v>205</v>
      </c>
      <c r="B462" s="126">
        <f t="shared" ref="B462:J462" si="175">ROUND(B459*B262,)</f>
        <v>0</v>
      </c>
      <c r="C462" s="126">
        <f t="shared" si="175"/>
        <v>0</v>
      </c>
      <c r="D462" s="126">
        <f t="shared" si="175"/>
        <v>0</v>
      </c>
      <c r="E462" s="126">
        <f t="shared" si="175"/>
        <v>2340</v>
      </c>
      <c r="F462" s="126">
        <f t="shared" si="175"/>
        <v>2340</v>
      </c>
      <c r="G462" s="126">
        <f t="shared" si="175"/>
        <v>2340</v>
      </c>
      <c r="H462" s="126">
        <f t="shared" si="175"/>
        <v>8760</v>
      </c>
      <c r="I462" s="126">
        <f t="shared" si="175"/>
        <v>9308</v>
      </c>
      <c r="J462" s="82">
        <f t="shared" si="175"/>
        <v>9855</v>
      </c>
    </row>
    <row r="463" spans="1:10" x14ac:dyDescent="0.2">
      <c r="A463" s="139" t="s">
        <v>199</v>
      </c>
      <c r="B463" s="169">
        <v>0</v>
      </c>
      <c r="C463" s="169">
        <v>0</v>
      </c>
      <c r="D463" s="169">
        <v>0</v>
      </c>
      <c r="E463" s="169">
        <v>0</v>
      </c>
      <c r="F463" s="169">
        <v>0</v>
      </c>
      <c r="G463" s="169">
        <v>0</v>
      </c>
      <c r="H463" s="169">
        <v>0</v>
      </c>
      <c r="I463" s="169">
        <v>0</v>
      </c>
      <c r="J463" s="170">
        <v>0</v>
      </c>
    </row>
    <row r="464" spans="1:10" x14ac:dyDescent="0.2">
      <c r="A464" s="139" t="s">
        <v>206</v>
      </c>
      <c r="B464" s="126">
        <f>ROUND(B463*B462,0)</f>
        <v>0</v>
      </c>
      <c r="C464" s="126">
        <f t="shared" ref="C464:J464" si="176">ROUND(C463*C462,0)</f>
        <v>0</v>
      </c>
      <c r="D464" s="126">
        <f t="shared" si="176"/>
        <v>0</v>
      </c>
      <c r="E464" s="126">
        <f t="shared" si="176"/>
        <v>0</v>
      </c>
      <c r="F464" s="126">
        <f t="shared" si="176"/>
        <v>0</v>
      </c>
      <c r="G464" s="126">
        <f t="shared" si="176"/>
        <v>0</v>
      </c>
      <c r="H464" s="126">
        <f t="shared" si="176"/>
        <v>0</v>
      </c>
      <c r="I464" s="126">
        <f t="shared" si="176"/>
        <v>0</v>
      </c>
      <c r="J464" s="82">
        <f t="shared" si="176"/>
        <v>0</v>
      </c>
    </row>
    <row r="465" spans="1:11" x14ac:dyDescent="0.2">
      <c r="A465" s="139" t="s">
        <v>201</v>
      </c>
      <c r="B465" s="126">
        <f t="shared" ref="B465:J465" si="177">ROUND(B228,0)</f>
        <v>0</v>
      </c>
      <c r="C465" s="126">
        <f t="shared" si="177"/>
        <v>0</v>
      </c>
      <c r="D465" s="126">
        <f t="shared" si="177"/>
        <v>0</v>
      </c>
      <c r="E465" s="126">
        <f t="shared" si="177"/>
        <v>1643</v>
      </c>
      <c r="F465" s="126">
        <f t="shared" si="177"/>
        <v>1643</v>
      </c>
      <c r="G465" s="126">
        <f t="shared" si="177"/>
        <v>1643</v>
      </c>
      <c r="H465" s="126">
        <f t="shared" si="177"/>
        <v>1752</v>
      </c>
      <c r="I465" s="126">
        <f t="shared" si="177"/>
        <v>1862</v>
      </c>
      <c r="J465" s="82">
        <f t="shared" si="177"/>
        <v>1971</v>
      </c>
    </row>
    <row r="466" spans="1:11" x14ac:dyDescent="0.2">
      <c r="A466" s="139" t="s">
        <v>199</v>
      </c>
      <c r="B466" s="169">
        <v>0</v>
      </c>
      <c r="C466" s="169">
        <v>0</v>
      </c>
      <c r="D466" s="169">
        <v>0</v>
      </c>
      <c r="E466" s="169">
        <v>0</v>
      </c>
      <c r="F466" s="169">
        <v>0</v>
      </c>
      <c r="G466" s="169">
        <v>0</v>
      </c>
      <c r="H466" s="169">
        <v>0</v>
      </c>
      <c r="I466" s="169">
        <v>0</v>
      </c>
      <c r="J466" s="170">
        <v>0</v>
      </c>
    </row>
    <row r="467" spans="1:11" x14ac:dyDescent="0.2">
      <c r="A467" s="139" t="s">
        <v>202</v>
      </c>
      <c r="B467" s="126">
        <f>ROUND(B466*B465,0)</f>
        <v>0</v>
      </c>
      <c r="C467" s="126">
        <f t="shared" ref="C467:J467" si="178">ROUND(C466*C465,0)</f>
        <v>0</v>
      </c>
      <c r="D467" s="126">
        <f t="shared" si="178"/>
        <v>0</v>
      </c>
      <c r="E467" s="126">
        <f t="shared" si="178"/>
        <v>0</v>
      </c>
      <c r="F467" s="126">
        <f t="shared" si="178"/>
        <v>0</v>
      </c>
      <c r="G467" s="126">
        <f t="shared" si="178"/>
        <v>0</v>
      </c>
      <c r="H467" s="126">
        <f t="shared" si="178"/>
        <v>0</v>
      </c>
      <c r="I467" s="126">
        <f t="shared" si="178"/>
        <v>0</v>
      </c>
      <c r="J467" s="82">
        <f t="shared" si="178"/>
        <v>0</v>
      </c>
    </row>
    <row r="468" spans="1:11" x14ac:dyDescent="0.2">
      <c r="A468" s="139" t="s">
        <v>203</v>
      </c>
      <c r="B468" s="126">
        <f t="shared" ref="B468:J468" si="179">ROUND(B230,0)</f>
        <v>0</v>
      </c>
      <c r="C468" s="126">
        <f t="shared" si="179"/>
        <v>0</v>
      </c>
      <c r="D468" s="126">
        <f t="shared" si="179"/>
        <v>0</v>
      </c>
      <c r="E468" s="126">
        <f t="shared" si="179"/>
        <v>1913</v>
      </c>
      <c r="F468" s="126">
        <f t="shared" si="179"/>
        <v>1913</v>
      </c>
      <c r="G468" s="126">
        <f t="shared" si="179"/>
        <v>1913</v>
      </c>
      <c r="H468" s="126">
        <f t="shared" si="179"/>
        <v>2448</v>
      </c>
      <c r="I468" s="126">
        <f t="shared" si="179"/>
        <v>3124</v>
      </c>
      <c r="J468" s="82">
        <f t="shared" si="179"/>
        <v>4590</v>
      </c>
    </row>
    <row r="469" spans="1:11" x14ac:dyDescent="0.2">
      <c r="A469" s="139" t="s">
        <v>199</v>
      </c>
      <c r="B469" s="169">
        <v>0</v>
      </c>
      <c r="C469" s="169">
        <v>0</v>
      </c>
      <c r="D469" s="169">
        <v>0</v>
      </c>
      <c r="E469" s="169">
        <v>0</v>
      </c>
      <c r="F469" s="169">
        <v>0</v>
      </c>
      <c r="G469" s="169">
        <v>0</v>
      </c>
      <c r="H469" s="169">
        <v>0</v>
      </c>
      <c r="I469" s="169">
        <v>0</v>
      </c>
      <c r="J469" s="170">
        <v>0</v>
      </c>
    </row>
    <row r="470" spans="1:11" x14ac:dyDescent="0.2">
      <c r="A470" s="155" t="s">
        <v>204</v>
      </c>
      <c r="B470" s="126">
        <f>ROUND(B469*B468,0)</f>
        <v>0</v>
      </c>
      <c r="C470" s="126">
        <f t="shared" ref="C470:J470" si="180">ROUND(C469*C468,0)</f>
        <v>0</v>
      </c>
      <c r="D470" s="126">
        <f t="shared" si="180"/>
        <v>0</v>
      </c>
      <c r="E470" s="126">
        <f t="shared" si="180"/>
        <v>0</v>
      </c>
      <c r="F470" s="126">
        <f t="shared" si="180"/>
        <v>0</v>
      </c>
      <c r="G470" s="126">
        <f t="shared" si="180"/>
        <v>0</v>
      </c>
      <c r="H470" s="126">
        <f t="shared" si="180"/>
        <v>0</v>
      </c>
      <c r="I470" s="126">
        <f t="shared" si="180"/>
        <v>0</v>
      </c>
      <c r="J470" s="82">
        <f t="shared" si="180"/>
        <v>0</v>
      </c>
    </row>
    <row r="471" spans="1:11" s="455" customFormat="1" x14ac:dyDescent="0.2">
      <c r="A471" s="36"/>
      <c r="B471" s="34"/>
      <c r="C471" s="34"/>
      <c r="D471" s="34"/>
      <c r="E471" s="34"/>
      <c r="F471" s="34"/>
      <c r="G471" s="34"/>
      <c r="H471" s="34"/>
      <c r="I471" s="34"/>
      <c r="J471" s="34"/>
    </row>
    <row r="472" spans="1:11" s="455" customFormat="1" ht="12" customHeight="1" x14ac:dyDescent="0.2">
      <c r="A472" s="502" t="s">
        <v>587</v>
      </c>
      <c r="B472" s="502"/>
      <c r="C472" s="502"/>
      <c r="D472" s="502"/>
      <c r="E472" s="502"/>
      <c r="F472" s="502"/>
      <c r="G472" s="502"/>
      <c r="H472" s="502"/>
      <c r="I472" s="502"/>
      <c r="J472" s="502"/>
    </row>
    <row r="473" spans="1:11" x14ac:dyDescent="0.2">
      <c r="A473" s="26" t="s">
        <v>225</v>
      </c>
    </row>
    <row r="474" spans="1:11" x14ac:dyDescent="0.2">
      <c r="A474" s="139" t="s">
        <v>132</v>
      </c>
      <c r="B474" s="137">
        <f t="shared" ref="B474:J474" si="181">ROUND(B262,3)</f>
        <v>0.15</v>
      </c>
      <c r="C474" s="137">
        <f t="shared" si="181"/>
        <v>0.15</v>
      </c>
      <c r="D474" s="137">
        <f t="shared" si="181"/>
        <v>0.15</v>
      </c>
      <c r="E474" s="137">
        <f t="shared" si="181"/>
        <v>0.15</v>
      </c>
      <c r="F474" s="137">
        <f t="shared" si="181"/>
        <v>0.15</v>
      </c>
      <c r="G474" s="137">
        <f t="shared" si="181"/>
        <v>0.15</v>
      </c>
      <c r="H474" s="137">
        <f t="shared" si="181"/>
        <v>0.15</v>
      </c>
      <c r="I474" s="137">
        <f t="shared" si="181"/>
        <v>0.15</v>
      </c>
      <c r="J474" s="138">
        <f t="shared" si="181"/>
        <v>0.15</v>
      </c>
    </row>
    <row r="475" spans="1:11" x14ac:dyDescent="0.2">
      <c r="A475" s="139" t="s">
        <v>137</v>
      </c>
      <c r="B475" s="126">
        <f>ROUND((B424+B437),1)</f>
        <v>10402</v>
      </c>
      <c r="C475" s="126">
        <f t="shared" ref="C475:J475" si="182">ROUND((C424+C437),1)</f>
        <v>10320</v>
      </c>
      <c r="D475" s="126">
        <f t="shared" si="182"/>
        <v>10320</v>
      </c>
      <c r="E475" s="126">
        <f t="shared" si="182"/>
        <v>0</v>
      </c>
      <c r="F475" s="126">
        <f t="shared" si="182"/>
        <v>0</v>
      </c>
      <c r="G475" s="126">
        <f t="shared" si="182"/>
        <v>0</v>
      </c>
      <c r="H475" s="126">
        <f t="shared" si="182"/>
        <v>0</v>
      </c>
      <c r="I475" s="126">
        <f t="shared" si="182"/>
        <v>0</v>
      </c>
      <c r="J475" s="82">
        <f t="shared" si="182"/>
        <v>0</v>
      </c>
    </row>
    <row r="476" spans="1:11" x14ac:dyDescent="0.2">
      <c r="A476" s="139" t="s">
        <v>141</v>
      </c>
      <c r="B476" s="126">
        <f>ROUND((B451+B464),1)</f>
        <v>0</v>
      </c>
      <c r="C476" s="126">
        <f t="shared" ref="C476:J476" si="183">ROUND((C451+C464),1)</f>
        <v>0</v>
      </c>
      <c r="D476" s="126">
        <f t="shared" si="183"/>
        <v>0</v>
      </c>
      <c r="E476" s="126">
        <f t="shared" si="183"/>
        <v>0</v>
      </c>
      <c r="F476" s="126">
        <f t="shared" si="183"/>
        <v>0</v>
      </c>
      <c r="G476" s="126">
        <f t="shared" si="183"/>
        <v>0</v>
      </c>
      <c r="H476" s="126">
        <f t="shared" si="183"/>
        <v>0</v>
      </c>
      <c r="I476" s="126">
        <f t="shared" si="183"/>
        <v>0</v>
      </c>
      <c r="J476" s="82">
        <f t="shared" si="183"/>
        <v>0</v>
      </c>
    </row>
    <row r="477" spans="1:11" x14ac:dyDescent="0.2">
      <c r="A477" s="154" t="s">
        <v>133</v>
      </c>
      <c r="B477" s="126">
        <f>SUM(B475:B476)</f>
        <v>10402</v>
      </c>
      <c r="C477" s="126">
        <f t="shared" ref="C477:J477" si="184">SUM(C475:C476)</f>
        <v>10320</v>
      </c>
      <c r="D477" s="126">
        <f t="shared" si="184"/>
        <v>10320</v>
      </c>
      <c r="E477" s="126">
        <f t="shared" si="184"/>
        <v>0</v>
      </c>
      <c r="F477" s="126">
        <f t="shared" si="184"/>
        <v>0</v>
      </c>
      <c r="G477" s="126">
        <f t="shared" si="184"/>
        <v>0</v>
      </c>
      <c r="H477" s="126">
        <f t="shared" si="184"/>
        <v>0</v>
      </c>
      <c r="I477" s="126">
        <f t="shared" si="184"/>
        <v>0</v>
      </c>
      <c r="J477" s="82">
        <f t="shared" si="184"/>
        <v>0</v>
      </c>
    </row>
    <row r="478" spans="1:11" x14ac:dyDescent="0.2">
      <c r="A478" s="154" t="s">
        <v>142</v>
      </c>
      <c r="B478" s="126">
        <f t="shared" ref="B478:J478" si="185">ROUND((B421+B434+B448+B461)*B474,1)</f>
        <v>10402.5</v>
      </c>
      <c r="C478" s="126">
        <f t="shared" si="185"/>
        <v>10320.299999999999</v>
      </c>
      <c r="D478" s="126">
        <f t="shared" si="185"/>
        <v>10320.299999999999</v>
      </c>
      <c r="E478" s="126">
        <f t="shared" si="185"/>
        <v>0</v>
      </c>
      <c r="F478" s="126">
        <f t="shared" si="185"/>
        <v>0</v>
      </c>
      <c r="G478" s="126">
        <f t="shared" si="185"/>
        <v>0</v>
      </c>
      <c r="H478" s="126">
        <f t="shared" si="185"/>
        <v>0</v>
      </c>
      <c r="I478" s="126">
        <f t="shared" si="185"/>
        <v>0</v>
      </c>
      <c r="J478" s="82">
        <f t="shared" si="185"/>
        <v>0</v>
      </c>
    </row>
    <row r="479" spans="1:11" x14ac:dyDescent="0.2">
      <c r="A479" s="125" t="s">
        <v>29</v>
      </c>
      <c r="B479" s="135">
        <f>ROUND(B477-B478,1)</f>
        <v>-0.5</v>
      </c>
      <c r="C479" s="135">
        <f t="shared" ref="C479:J479" si="186">ROUND(C477-C478,1)</f>
        <v>-0.3</v>
      </c>
      <c r="D479" s="135">
        <f t="shared" si="186"/>
        <v>-0.3</v>
      </c>
      <c r="E479" s="135">
        <f t="shared" si="186"/>
        <v>0</v>
      </c>
      <c r="F479" s="135">
        <f t="shared" si="186"/>
        <v>0</v>
      </c>
      <c r="G479" s="135">
        <f t="shared" si="186"/>
        <v>0</v>
      </c>
      <c r="H479" s="135">
        <f t="shared" si="186"/>
        <v>0</v>
      </c>
      <c r="I479" s="135">
        <f t="shared" si="186"/>
        <v>0</v>
      </c>
      <c r="J479" s="136">
        <f t="shared" si="186"/>
        <v>0</v>
      </c>
      <c r="K479" s="29"/>
    </row>
    <row r="480" spans="1:11" x14ac:dyDescent="0.2">
      <c r="A480" s="46" t="s">
        <v>234</v>
      </c>
    </row>
    <row r="481" spans="1:10" x14ac:dyDescent="0.2">
      <c r="A481" s="139" t="s">
        <v>135</v>
      </c>
      <c r="B481" s="126">
        <f>ROUND(B421+B434,0)</f>
        <v>69350</v>
      </c>
      <c r="C481" s="126">
        <f t="shared" ref="C481:J481" si="187">ROUND(C421+C434,0)</f>
        <v>68802</v>
      </c>
      <c r="D481" s="126">
        <f t="shared" si="187"/>
        <v>68802</v>
      </c>
      <c r="E481" s="126">
        <f t="shared" si="187"/>
        <v>0</v>
      </c>
      <c r="F481" s="126">
        <f t="shared" si="187"/>
        <v>0</v>
      </c>
      <c r="G481" s="126">
        <f t="shared" si="187"/>
        <v>0</v>
      </c>
      <c r="H481" s="126">
        <f t="shared" si="187"/>
        <v>0</v>
      </c>
      <c r="I481" s="126">
        <f t="shared" si="187"/>
        <v>0</v>
      </c>
      <c r="J481" s="82">
        <f t="shared" si="187"/>
        <v>0</v>
      </c>
    </row>
    <row r="482" spans="1:10" x14ac:dyDescent="0.2">
      <c r="A482" s="139" t="s">
        <v>136</v>
      </c>
      <c r="B482" s="126">
        <f>B427+B440</f>
        <v>3176</v>
      </c>
      <c r="C482" s="126">
        <f t="shared" ref="C482:J482" si="188">C427+C440</f>
        <v>3176</v>
      </c>
      <c r="D482" s="126">
        <f t="shared" si="188"/>
        <v>3176</v>
      </c>
      <c r="E482" s="126">
        <f t="shared" si="188"/>
        <v>0</v>
      </c>
      <c r="F482" s="126">
        <f t="shared" si="188"/>
        <v>0</v>
      </c>
      <c r="G482" s="126">
        <f t="shared" si="188"/>
        <v>0</v>
      </c>
      <c r="H482" s="126">
        <f t="shared" si="188"/>
        <v>0</v>
      </c>
      <c r="I482" s="126">
        <f t="shared" si="188"/>
        <v>0</v>
      </c>
      <c r="J482" s="82">
        <f t="shared" si="188"/>
        <v>0</v>
      </c>
    </row>
    <row r="483" spans="1:10" x14ac:dyDescent="0.2">
      <c r="A483" s="139" t="s">
        <v>137</v>
      </c>
      <c r="B483" s="126">
        <f t="shared" ref="B483:J483" si="189">ROUND(B424+B437,0)</f>
        <v>10402</v>
      </c>
      <c r="C483" s="126">
        <f t="shared" si="189"/>
        <v>10320</v>
      </c>
      <c r="D483" s="126">
        <f t="shared" si="189"/>
        <v>10320</v>
      </c>
      <c r="E483" s="126">
        <f t="shared" si="189"/>
        <v>0</v>
      </c>
      <c r="F483" s="126">
        <f t="shared" si="189"/>
        <v>0</v>
      </c>
      <c r="G483" s="126">
        <f t="shared" si="189"/>
        <v>0</v>
      </c>
      <c r="H483" s="126">
        <f t="shared" si="189"/>
        <v>0</v>
      </c>
      <c r="I483" s="126">
        <f t="shared" si="189"/>
        <v>0</v>
      </c>
      <c r="J483" s="82">
        <f t="shared" si="189"/>
        <v>0</v>
      </c>
    </row>
    <row r="484" spans="1:10" x14ac:dyDescent="0.2">
      <c r="A484" s="125" t="s">
        <v>226</v>
      </c>
      <c r="B484" s="126">
        <f>SUM(B481:B483)</f>
        <v>82928</v>
      </c>
      <c r="C484" s="126">
        <f t="shared" ref="C484:J484" si="190">SUM(C481:C483)</f>
        <v>82298</v>
      </c>
      <c r="D484" s="126">
        <f t="shared" si="190"/>
        <v>82298</v>
      </c>
      <c r="E484" s="126">
        <f t="shared" si="190"/>
        <v>0</v>
      </c>
      <c r="F484" s="126">
        <f t="shared" si="190"/>
        <v>0</v>
      </c>
      <c r="G484" s="126">
        <f t="shared" si="190"/>
        <v>0</v>
      </c>
      <c r="H484" s="126">
        <f t="shared" si="190"/>
        <v>0</v>
      </c>
      <c r="I484" s="126">
        <f t="shared" si="190"/>
        <v>0</v>
      </c>
      <c r="J484" s="82">
        <f t="shared" si="190"/>
        <v>0</v>
      </c>
    </row>
    <row r="485" spans="1:10" x14ac:dyDescent="0.2">
      <c r="A485" s="46" t="s">
        <v>235</v>
      </c>
      <c r="B485" s="34"/>
      <c r="C485" s="34"/>
      <c r="D485" s="34"/>
      <c r="E485" s="34"/>
      <c r="F485" s="34"/>
      <c r="G485" s="34"/>
      <c r="H485" s="34"/>
      <c r="I485" s="34"/>
      <c r="J485" s="34"/>
    </row>
    <row r="486" spans="1:10" x14ac:dyDescent="0.2">
      <c r="A486" s="139" t="s">
        <v>138</v>
      </c>
      <c r="B486" s="126">
        <f>ROUND(B448+B461,1)</f>
        <v>0</v>
      </c>
      <c r="C486" s="126">
        <f t="shared" ref="C486:J486" si="191">ROUND(C448+C461,1)</f>
        <v>0</v>
      </c>
      <c r="D486" s="126">
        <f t="shared" si="191"/>
        <v>0</v>
      </c>
      <c r="E486" s="126">
        <f t="shared" si="191"/>
        <v>0</v>
      </c>
      <c r="F486" s="126">
        <f t="shared" si="191"/>
        <v>0</v>
      </c>
      <c r="G486" s="126">
        <f t="shared" si="191"/>
        <v>0</v>
      </c>
      <c r="H486" s="126">
        <f t="shared" si="191"/>
        <v>0</v>
      </c>
      <c r="I486" s="126">
        <f t="shared" si="191"/>
        <v>0</v>
      </c>
      <c r="J486" s="82">
        <f t="shared" si="191"/>
        <v>0</v>
      </c>
    </row>
    <row r="487" spans="1:10" x14ac:dyDescent="0.2">
      <c r="A487" s="139" t="s">
        <v>139</v>
      </c>
      <c r="B487" s="126">
        <f>ROUND(B454+B467,1)</f>
        <v>0</v>
      </c>
      <c r="C487" s="126">
        <f t="shared" ref="C487:J487" si="192">ROUND(C454+C467,1)</f>
        <v>0</v>
      </c>
      <c r="D487" s="126">
        <f t="shared" si="192"/>
        <v>0</v>
      </c>
      <c r="E487" s="126">
        <f t="shared" si="192"/>
        <v>0</v>
      </c>
      <c r="F487" s="126">
        <f t="shared" si="192"/>
        <v>0</v>
      </c>
      <c r="G487" s="126">
        <f t="shared" si="192"/>
        <v>0</v>
      </c>
      <c r="H487" s="126">
        <f t="shared" si="192"/>
        <v>0</v>
      </c>
      <c r="I487" s="126">
        <f t="shared" si="192"/>
        <v>0</v>
      </c>
      <c r="J487" s="82">
        <f t="shared" si="192"/>
        <v>0</v>
      </c>
    </row>
    <row r="488" spans="1:10" x14ac:dyDescent="0.2">
      <c r="A488" s="139" t="s">
        <v>141</v>
      </c>
      <c r="B488" s="126">
        <f>ROUND(B451+B464,0)</f>
        <v>0</v>
      </c>
      <c r="C488" s="126">
        <f t="shared" ref="C488:J488" si="193">ROUND(C451+C464,0)</f>
        <v>0</v>
      </c>
      <c r="D488" s="126">
        <f t="shared" si="193"/>
        <v>0</v>
      </c>
      <c r="E488" s="126">
        <f t="shared" si="193"/>
        <v>0</v>
      </c>
      <c r="F488" s="126">
        <f t="shared" si="193"/>
        <v>0</v>
      </c>
      <c r="G488" s="126">
        <f t="shared" si="193"/>
        <v>0</v>
      </c>
      <c r="H488" s="126">
        <f t="shared" si="193"/>
        <v>0</v>
      </c>
      <c r="I488" s="126">
        <f t="shared" si="193"/>
        <v>0</v>
      </c>
      <c r="J488" s="82">
        <f t="shared" si="193"/>
        <v>0</v>
      </c>
    </row>
    <row r="489" spans="1:10" x14ac:dyDescent="0.2">
      <c r="A489" s="125" t="s">
        <v>140</v>
      </c>
      <c r="B489" s="126">
        <f>ROUND(SUM(B486:B488),0)</f>
        <v>0</v>
      </c>
      <c r="C489" s="126">
        <f t="shared" ref="C489:J489" si="194">ROUND(SUM(C486:C488),0)</f>
        <v>0</v>
      </c>
      <c r="D489" s="126">
        <f t="shared" si="194"/>
        <v>0</v>
      </c>
      <c r="E489" s="126">
        <f t="shared" si="194"/>
        <v>0</v>
      </c>
      <c r="F489" s="126">
        <f t="shared" si="194"/>
        <v>0</v>
      </c>
      <c r="G489" s="126">
        <f t="shared" si="194"/>
        <v>0</v>
      </c>
      <c r="H489" s="126">
        <f t="shared" si="194"/>
        <v>0</v>
      </c>
      <c r="I489" s="126">
        <f t="shared" si="194"/>
        <v>0</v>
      </c>
      <c r="J489" s="82">
        <f t="shared" si="194"/>
        <v>0</v>
      </c>
    </row>
    <row r="490" spans="1:10" x14ac:dyDescent="0.2">
      <c r="A490" s="26" t="s">
        <v>494</v>
      </c>
      <c r="B490" s="34"/>
      <c r="C490" s="34"/>
      <c r="D490" s="34"/>
      <c r="E490" s="34"/>
      <c r="F490" s="34"/>
      <c r="G490" s="34"/>
      <c r="H490" s="34"/>
      <c r="I490" s="34"/>
      <c r="J490" s="34"/>
    </row>
    <row r="491" spans="1:10" x14ac:dyDescent="0.2">
      <c r="A491" s="199" t="s">
        <v>88</v>
      </c>
      <c r="B491" s="212"/>
      <c r="C491" s="212"/>
      <c r="D491" s="212"/>
      <c r="E491" s="212"/>
      <c r="F491" s="212"/>
      <c r="G491" s="212"/>
      <c r="H491" s="212"/>
      <c r="I491" s="212"/>
      <c r="J491" s="212"/>
    </row>
    <row r="492" spans="1:10" x14ac:dyDescent="0.2">
      <c r="A492" s="139" t="s">
        <v>500</v>
      </c>
      <c r="B492" s="146">
        <f>B280</f>
        <v>0</v>
      </c>
      <c r="C492" s="146">
        <f t="shared" ref="C492:J492" si="195">C280</f>
        <v>0</v>
      </c>
      <c r="D492" s="146">
        <f t="shared" si="195"/>
        <v>0</v>
      </c>
      <c r="E492" s="146">
        <f t="shared" si="195"/>
        <v>0</v>
      </c>
      <c r="F492" s="146">
        <f t="shared" si="195"/>
        <v>51750</v>
      </c>
      <c r="G492" s="146">
        <f t="shared" si="195"/>
        <v>57500</v>
      </c>
      <c r="H492" s="146">
        <f t="shared" si="195"/>
        <v>69000</v>
      </c>
      <c r="I492" s="146">
        <f t="shared" si="195"/>
        <v>74750</v>
      </c>
      <c r="J492" s="147">
        <f t="shared" si="195"/>
        <v>74750</v>
      </c>
    </row>
    <row r="493" spans="1:10" x14ac:dyDescent="0.2">
      <c r="A493" s="139" t="s">
        <v>199</v>
      </c>
      <c r="B493" s="169">
        <v>0</v>
      </c>
      <c r="C493" s="169">
        <v>0</v>
      </c>
      <c r="D493" s="169">
        <v>0</v>
      </c>
      <c r="E493" s="169">
        <v>0</v>
      </c>
      <c r="F493" s="169">
        <v>0</v>
      </c>
      <c r="G493" s="169">
        <v>0</v>
      </c>
      <c r="H493" s="169">
        <v>0</v>
      </c>
      <c r="I493" s="169">
        <v>0</v>
      </c>
      <c r="J493" s="170">
        <v>0</v>
      </c>
    </row>
    <row r="494" spans="1:10" x14ac:dyDescent="0.2">
      <c r="A494" s="139" t="s">
        <v>495</v>
      </c>
      <c r="B494" s="146">
        <f>ROUND(B492*B493,0)</f>
        <v>0</v>
      </c>
      <c r="C494" s="146">
        <f t="shared" ref="C494:J494" si="196">ROUND(C492*C493,0)</f>
        <v>0</v>
      </c>
      <c r="D494" s="146">
        <f t="shared" si="196"/>
        <v>0</v>
      </c>
      <c r="E494" s="146">
        <f t="shared" si="196"/>
        <v>0</v>
      </c>
      <c r="F494" s="146">
        <f t="shared" si="196"/>
        <v>0</v>
      </c>
      <c r="G494" s="146">
        <f t="shared" si="196"/>
        <v>0</v>
      </c>
      <c r="H494" s="146">
        <f t="shared" si="196"/>
        <v>0</v>
      </c>
      <c r="I494" s="146">
        <f t="shared" si="196"/>
        <v>0</v>
      </c>
      <c r="J494" s="147">
        <f t="shared" si="196"/>
        <v>0</v>
      </c>
    </row>
    <row r="495" spans="1:10" x14ac:dyDescent="0.2">
      <c r="A495" s="36" t="s">
        <v>55</v>
      </c>
      <c r="B495" s="65"/>
      <c r="C495" s="65"/>
      <c r="D495" s="65"/>
      <c r="E495" s="65"/>
      <c r="F495" s="65"/>
      <c r="G495" s="65"/>
      <c r="H495" s="65"/>
      <c r="I495" s="65"/>
      <c r="J495" s="65"/>
    </row>
    <row r="496" spans="1:10" x14ac:dyDescent="0.2">
      <c r="A496" s="199" t="s">
        <v>90</v>
      </c>
      <c r="B496" s="212"/>
      <c r="C496" s="212"/>
      <c r="D496" s="212"/>
      <c r="E496" s="212"/>
      <c r="F496" s="212"/>
      <c r="G496" s="212"/>
      <c r="H496" s="212"/>
      <c r="I496" s="212"/>
      <c r="J496" s="212"/>
    </row>
    <row r="497" spans="1:10" x14ac:dyDescent="0.2">
      <c r="A497" s="139" t="s">
        <v>501</v>
      </c>
      <c r="B497" s="146">
        <f>B287</f>
        <v>4025</v>
      </c>
      <c r="C497" s="146">
        <f t="shared" ref="C497:J497" si="197">C287</f>
        <v>10063</v>
      </c>
      <c r="D497" s="146">
        <f t="shared" si="197"/>
        <v>16100</v>
      </c>
      <c r="E497" s="146">
        <f t="shared" si="197"/>
        <v>28175</v>
      </c>
      <c r="F497" s="146">
        <f t="shared" si="197"/>
        <v>0</v>
      </c>
      <c r="G497" s="146">
        <f t="shared" si="197"/>
        <v>0</v>
      </c>
      <c r="H497" s="146">
        <f t="shared" si="197"/>
        <v>0</v>
      </c>
      <c r="I497" s="146">
        <f t="shared" si="197"/>
        <v>0</v>
      </c>
      <c r="J497" s="147">
        <f t="shared" si="197"/>
        <v>0</v>
      </c>
    </row>
    <row r="498" spans="1:10" x14ac:dyDescent="0.2">
      <c r="A498" s="139" t="s">
        <v>199</v>
      </c>
      <c r="B498" s="169">
        <v>0.5</v>
      </c>
      <c r="C498" s="169">
        <v>0.5</v>
      </c>
      <c r="D498" s="169">
        <v>0.4</v>
      </c>
      <c r="E498" s="169">
        <v>0.3</v>
      </c>
      <c r="F498" s="169">
        <v>0</v>
      </c>
      <c r="G498" s="169">
        <v>0</v>
      </c>
      <c r="H498" s="169">
        <v>0</v>
      </c>
      <c r="I498" s="169">
        <v>0</v>
      </c>
      <c r="J498" s="170">
        <v>0</v>
      </c>
    </row>
    <row r="499" spans="1:10" x14ac:dyDescent="0.2">
      <c r="A499" s="139" t="s">
        <v>496</v>
      </c>
      <c r="B499" s="146">
        <f t="shared" ref="B499:J499" si="198">ROUND(B497*B498,0)</f>
        <v>2013</v>
      </c>
      <c r="C499" s="146">
        <f t="shared" si="198"/>
        <v>5032</v>
      </c>
      <c r="D499" s="146">
        <f t="shared" si="198"/>
        <v>6440</v>
      </c>
      <c r="E499" s="146">
        <f t="shared" si="198"/>
        <v>8453</v>
      </c>
      <c r="F499" s="146">
        <f t="shared" si="198"/>
        <v>0</v>
      </c>
      <c r="G499" s="146">
        <f t="shared" si="198"/>
        <v>0</v>
      </c>
      <c r="H499" s="146">
        <f t="shared" si="198"/>
        <v>0</v>
      </c>
      <c r="I499" s="146">
        <f t="shared" si="198"/>
        <v>0</v>
      </c>
      <c r="J499" s="147">
        <f t="shared" si="198"/>
        <v>0</v>
      </c>
    </row>
    <row r="500" spans="1:10" x14ac:dyDescent="0.2">
      <c r="A500" s="125" t="s">
        <v>502</v>
      </c>
      <c r="B500" s="146">
        <f>ROUND(B499+B494,0)</f>
        <v>2013</v>
      </c>
      <c r="C500" s="146">
        <f t="shared" ref="C500:J500" si="199">ROUND(C499+C494,0)</f>
        <v>5032</v>
      </c>
      <c r="D500" s="146">
        <f t="shared" si="199"/>
        <v>6440</v>
      </c>
      <c r="E500" s="146">
        <f t="shared" si="199"/>
        <v>8453</v>
      </c>
      <c r="F500" s="146">
        <f t="shared" si="199"/>
        <v>0</v>
      </c>
      <c r="G500" s="146">
        <f t="shared" si="199"/>
        <v>0</v>
      </c>
      <c r="H500" s="146">
        <f t="shared" si="199"/>
        <v>0</v>
      </c>
      <c r="I500" s="146">
        <f t="shared" si="199"/>
        <v>0</v>
      </c>
      <c r="J500" s="147">
        <f t="shared" si="199"/>
        <v>0</v>
      </c>
    </row>
    <row r="501" spans="1:10" s="124" customFormat="1" x14ac:dyDescent="0.2">
      <c r="A501" s="36"/>
      <c r="B501" s="34"/>
      <c r="C501" s="34"/>
      <c r="D501" s="34"/>
      <c r="E501" s="34"/>
      <c r="F501" s="34"/>
      <c r="G501" s="34"/>
      <c r="H501" s="34"/>
      <c r="I501" s="34"/>
      <c r="J501" s="34"/>
    </row>
    <row r="502" spans="1:10" s="124" customFormat="1" x14ac:dyDescent="0.2">
      <c r="A502" s="502" t="s">
        <v>588</v>
      </c>
      <c r="B502" s="502"/>
      <c r="C502" s="502"/>
      <c r="D502" s="502"/>
      <c r="E502" s="502"/>
      <c r="F502" s="502"/>
      <c r="G502" s="502"/>
      <c r="H502" s="502"/>
      <c r="I502" s="502"/>
      <c r="J502" s="502"/>
    </row>
    <row r="503" spans="1:10" x14ac:dyDescent="0.2">
      <c r="A503" s="46" t="s">
        <v>236</v>
      </c>
      <c r="B503" s="34"/>
      <c r="C503" s="34"/>
      <c r="D503" s="34"/>
      <c r="E503" s="34"/>
      <c r="F503" s="34"/>
      <c r="G503" s="34"/>
      <c r="H503" s="34"/>
      <c r="I503" s="34"/>
      <c r="J503" s="34"/>
    </row>
    <row r="504" spans="1:10" x14ac:dyDescent="0.2">
      <c r="A504" s="155" t="s">
        <v>154</v>
      </c>
      <c r="B504" s="126">
        <f t="shared" ref="B504:J504" si="200">ROUND(B481+B486,0)</f>
        <v>69350</v>
      </c>
      <c r="C504" s="126">
        <f t="shared" si="200"/>
        <v>68802</v>
      </c>
      <c r="D504" s="126">
        <f t="shared" si="200"/>
        <v>68802</v>
      </c>
      <c r="E504" s="126">
        <f t="shared" si="200"/>
        <v>0</v>
      </c>
      <c r="F504" s="126">
        <f t="shared" si="200"/>
        <v>0</v>
      </c>
      <c r="G504" s="126">
        <f t="shared" si="200"/>
        <v>0</v>
      </c>
      <c r="H504" s="126">
        <f t="shared" si="200"/>
        <v>0</v>
      </c>
      <c r="I504" s="126">
        <f t="shared" si="200"/>
        <v>0</v>
      </c>
      <c r="J504" s="82">
        <f t="shared" si="200"/>
        <v>0</v>
      </c>
    </row>
    <row r="505" spans="1:10" x14ac:dyDescent="0.2">
      <c r="A505" s="155" t="s">
        <v>156</v>
      </c>
      <c r="B505" s="126">
        <f t="shared" ref="B505:J505" si="201">ROUND(B482+B487,0)</f>
        <v>3176</v>
      </c>
      <c r="C505" s="126">
        <f t="shared" si="201"/>
        <v>3176</v>
      </c>
      <c r="D505" s="126">
        <f t="shared" si="201"/>
        <v>3176</v>
      </c>
      <c r="E505" s="126">
        <f t="shared" si="201"/>
        <v>0</v>
      </c>
      <c r="F505" s="126">
        <f t="shared" si="201"/>
        <v>0</v>
      </c>
      <c r="G505" s="126">
        <f t="shared" si="201"/>
        <v>0</v>
      </c>
      <c r="H505" s="126">
        <f t="shared" si="201"/>
        <v>0</v>
      </c>
      <c r="I505" s="126">
        <f t="shared" si="201"/>
        <v>0</v>
      </c>
      <c r="J505" s="82">
        <f t="shared" si="201"/>
        <v>0</v>
      </c>
    </row>
    <row r="506" spans="1:10" x14ac:dyDescent="0.2">
      <c r="A506" s="139" t="s">
        <v>157</v>
      </c>
      <c r="B506" s="126">
        <f t="shared" ref="B506:J506" si="202">ROUND(B483+B488,0)</f>
        <v>10402</v>
      </c>
      <c r="C506" s="126">
        <f t="shared" si="202"/>
        <v>10320</v>
      </c>
      <c r="D506" s="126">
        <f t="shared" si="202"/>
        <v>10320</v>
      </c>
      <c r="E506" s="126">
        <f t="shared" si="202"/>
        <v>0</v>
      </c>
      <c r="F506" s="126">
        <f t="shared" si="202"/>
        <v>0</v>
      </c>
      <c r="G506" s="126">
        <f t="shared" si="202"/>
        <v>0</v>
      </c>
      <c r="H506" s="126">
        <f t="shared" si="202"/>
        <v>0</v>
      </c>
      <c r="I506" s="126">
        <f t="shared" si="202"/>
        <v>0</v>
      </c>
      <c r="J506" s="82">
        <f t="shared" si="202"/>
        <v>0</v>
      </c>
    </row>
    <row r="507" spans="1:10" x14ac:dyDescent="0.2">
      <c r="A507" s="125" t="s">
        <v>158</v>
      </c>
      <c r="B507" s="126">
        <f>SUM(B504:B506)</f>
        <v>82928</v>
      </c>
      <c r="C507" s="126">
        <f t="shared" ref="C507:J507" si="203">SUM(C504:C506)</f>
        <v>82298</v>
      </c>
      <c r="D507" s="126">
        <f t="shared" si="203"/>
        <v>82298</v>
      </c>
      <c r="E507" s="126">
        <f t="shared" si="203"/>
        <v>0</v>
      </c>
      <c r="F507" s="126">
        <f t="shared" si="203"/>
        <v>0</v>
      </c>
      <c r="G507" s="126">
        <f t="shared" si="203"/>
        <v>0</v>
      </c>
      <c r="H507" s="126">
        <f t="shared" si="203"/>
        <v>0</v>
      </c>
      <c r="I507" s="126">
        <f t="shared" si="203"/>
        <v>0</v>
      </c>
      <c r="J507" s="82">
        <f t="shared" si="203"/>
        <v>0</v>
      </c>
    </row>
    <row r="508" spans="1:10" ht="25.5" x14ac:dyDescent="0.2">
      <c r="A508" s="127" t="s">
        <v>503</v>
      </c>
      <c r="B508" s="126">
        <f t="shared" ref="B508:J508" si="204">ROUND(B500+B507,0)</f>
        <v>84941</v>
      </c>
      <c r="C508" s="126">
        <f t="shared" si="204"/>
        <v>87330</v>
      </c>
      <c r="D508" s="126">
        <f t="shared" si="204"/>
        <v>88738</v>
      </c>
      <c r="E508" s="126">
        <f t="shared" si="204"/>
        <v>8453</v>
      </c>
      <c r="F508" s="126">
        <f t="shared" si="204"/>
        <v>0</v>
      </c>
      <c r="G508" s="126">
        <f t="shared" si="204"/>
        <v>0</v>
      </c>
      <c r="H508" s="126">
        <f t="shared" si="204"/>
        <v>0</v>
      </c>
      <c r="I508" s="126">
        <f t="shared" si="204"/>
        <v>0</v>
      </c>
      <c r="J508" s="82">
        <f t="shared" si="204"/>
        <v>0</v>
      </c>
    </row>
    <row r="509" spans="1:10" x14ac:dyDescent="0.2">
      <c r="A509" s="46" t="str">
        <f>'10 EXS 1-9 Budgets'!A92</f>
        <v>LABOR-TOTALS</v>
      </c>
      <c r="B509" s="34"/>
      <c r="C509" s="34"/>
      <c r="D509" s="34"/>
      <c r="E509" s="34"/>
      <c r="F509" s="34"/>
      <c r="G509" s="34"/>
      <c r="H509" s="34"/>
      <c r="I509" s="34"/>
      <c r="J509" s="34"/>
    </row>
    <row r="510" spans="1:10" x14ac:dyDescent="0.2">
      <c r="A510" s="139" t="str">
        <f>'10 EXS 1-9 Budgets'!A93</f>
        <v>Crews Total On-Call Pay</v>
      </c>
      <c r="B510" s="126">
        <f>'10 EXS 1-9 Budgets'!B93</f>
        <v>36500</v>
      </c>
      <c r="C510" s="126">
        <f>'10 EXS 1-9 Budgets'!C93</f>
        <v>0</v>
      </c>
      <c r="D510" s="126">
        <f>'10 EXS 1-9 Budgets'!D93</f>
        <v>0</v>
      </c>
      <c r="E510" s="126">
        <f>'10 EXS 1-9 Budgets'!E93</f>
        <v>0</v>
      </c>
      <c r="F510" s="126">
        <f>'10 EXS 1-9 Budgets'!F93</f>
        <v>0</v>
      </c>
      <c r="G510" s="126">
        <f>'10 EXS 1-9 Budgets'!G93</f>
        <v>0</v>
      </c>
      <c r="H510" s="126">
        <f>'10 EXS 1-9 Budgets'!H93</f>
        <v>0</v>
      </c>
      <c r="I510" s="126">
        <f>'10 EXS 1-9 Budgets'!I93</f>
        <v>0</v>
      </c>
      <c r="J510" s="82">
        <f>'10 EXS 1-9 Budgets'!J93</f>
        <v>0</v>
      </c>
    </row>
    <row r="511" spans="1:10" x14ac:dyDescent="0.2">
      <c r="A511" s="155" t="str">
        <f>'10 EXS 1-9 Budgets'!A94</f>
        <v>Crews Total Regular Pay</v>
      </c>
      <c r="B511" s="126">
        <f>'10 EXS 1-9 Budgets'!B94</f>
        <v>69350</v>
      </c>
      <c r="C511" s="126">
        <f>'10 EXS 1-9 Budgets'!C94</f>
        <v>105850</v>
      </c>
      <c r="D511" s="126">
        <f>'10 EXS 1-9 Budgets'!D94</f>
        <v>105850</v>
      </c>
      <c r="E511" s="126">
        <f>'10 EXS 1-9 Budgets'!E94</f>
        <v>137050</v>
      </c>
      <c r="F511" s="126">
        <f>'10 EXS 1-9 Budgets'!F94</f>
        <v>137050</v>
      </c>
      <c r="G511" s="126">
        <f>'10 EXS 1-9 Budgets'!G94</f>
        <v>137050</v>
      </c>
      <c r="H511" s="126">
        <f>'10 EXS 1-9 Budgets'!H94</f>
        <v>219000</v>
      </c>
      <c r="I511" s="126">
        <f>'10 EXS 1-9 Budgets'!I94</f>
        <v>224475</v>
      </c>
      <c r="J511" s="82">
        <f>'10 EXS 1-9 Budgets'!J94</f>
        <v>228125</v>
      </c>
    </row>
    <row r="512" spans="1:10" x14ac:dyDescent="0.2">
      <c r="A512" s="155" t="str">
        <f>'10 EXS 1-9 Budgets'!A95</f>
        <v>Crews Total Overtime Pay</v>
      </c>
      <c r="B512" s="126">
        <f>'10 EXS 1-9 Budgets'!B95</f>
        <v>3176</v>
      </c>
      <c r="C512" s="126">
        <f>'10 EXS 1-9 Budgets'!C95</f>
        <v>5024</v>
      </c>
      <c r="D512" s="126">
        <f>'10 EXS 1-9 Budgets'!D95</f>
        <v>5024</v>
      </c>
      <c r="E512" s="126">
        <f>'10 EXS 1-9 Budgets'!E95</f>
        <v>13986</v>
      </c>
      <c r="F512" s="126">
        <f>'10 EXS 1-9 Budgets'!F95</f>
        <v>13986</v>
      </c>
      <c r="G512" s="126">
        <f>'10 EXS 1-9 Budgets'!G95</f>
        <v>13986</v>
      </c>
      <c r="H512" s="126">
        <f>'10 EXS 1-9 Budgets'!H95</f>
        <v>15752</v>
      </c>
      <c r="I512" s="126">
        <f>'10 EXS 1-9 Budgets'!I95</f>
        <v>18036</v>
      </c>
      <c r="J512" s="82">
        <f>'10 EXS 1-9 Budgets'!J95</f>
        <v>22783</v>
      </c>
    </row>
    <row r="513" spans="1:10" x14ac:dyDescent="0.2">
      <c r="A513" s="139" t="str">
        <f>'10 EXS 1-9 Budgets'!A96</f>
        <v>Crews Total Benefits</v>
      </c>
      <c r="B513" s="126">
        <f>'10 EXS 1-9 Budgets'!B96</f>
        <v>15877.5</v>
      </c>
      <c r="C513" s="126">
        <f>'10 EXS 1-9 Budgets'!C96</f>
        <v>15877.5</v>
      </c>
      <c r="D513" s="126">
        <f>'10 EXS 1-9 Budgets'!D96</f>
        <v>15877.5</v>
      </c>
      <c r="E513" s="126">
        <f>'10 EXS 1-9 Budgets'!E96</f>
        <v>20557.5</v>
      </c>
      <c r="F513" s="126">
        <f>'10 EXS 1-9 Budgets'!F96</f>
        <v>20557.5</v>
      </c>
      <c r="G513" s="126">
        <f>'10 EXS 1-9 Budgets'!G96</f>
        <v>20557.5</v>
      </c>
      <c r="H513" s="126">
        <f>'10 EXS 1-9 Budgets'!H96</f>
        <v>32850</v>
      </c>
      <c r="I513" s="126">
        <f>'10 EXS 1-9 Budgets'!I96</f>
        <v>33671.300000000003</v>
      </c>
      <c r="J513" s="82">
        <f>'10 EXS 1-9 Budgets'!J96</f>
        <v>34218.800000000003</v>
      </c>
    </row>
    <row r="514" spans="1:10" x14ac:dyDescent="0.2">
      <c r="A514" s="125" t="str">
        <f>'10 EXS 1-9 Budgets'!A97</f>
        <v>Crews Total Labor</v>
      </c>
      <c r="B514" s="126">
        <f>'10 EXS 1-9 Budgets'!B97</f>
        <v>124904</v>
      </c>
      <c r="C514" s="126">
        <f>'10 EXS 1-9 Budgets'!C97</f>
        <v>126752</v>
      </c>
      <c r="D514" s="126">
        <f>'10 EXS 1-9 Budgets'!D97</f>
        <v>126752</v>
      </c>
      <c r="E514" s="126">
        <f>'10 EXS 1-9 Budgets'!E97</f>
        <v>171594</v>
      </c>
      <c r="F514" s="126">
        <f>'10 EXS 1-9 Budgets'!F97</f>
        <v>171594</v>
      </c>
      <c r="G514" s="126">
        <f>'10 EXS 1-9 Budgets'!G97</f>
        <v>171594</v>
      </c>
      <c r="H514" s="126">
        <f>'10 EXS 1-9 Budgets'!H97</f>
        <v>267602</v>
      </c>
      <c r="I514" s="126">
        <f>'10 EXS 1-9 Budgets'!I97</f>
        <v>276182</v>
      </c>
      <c r="J514" s="82">
        <f>'10 EXS 1-9 Budgets'!J97</f>
        <v>285127</v>
      </c>
    </row>
    <row r="515" spans="1:10" x14ac:dyDescent="0.2">
      <c r="A515" s="489"/>
      <c r="B515" s="171"/>
      <c r="C515" s="171"/>
      <c r="D515" s="171"/>
      <c r="E515" s="171"/>
      <c r="F515" s="171"/>
      <c r="G515" s="171"/>
      <c r="H515" s="171"/>
      <c r="I515" s="171"/>
      <c r="J515" s="172"/>
    </row>
    <row r="516" spans="1:10" x14ac:dyDescent="0.2">
      <c r="A516" s="489"/>
      <c r="B516" s="171"/>
      <c r="C516" s="171"/>
      <c r="D516" s="171"/>
      <c r="E516" s="171"/>
      <c r="F516" s="171"/>
      <c r="G516" s="171"/>
      <c r="H516" s="171"/>
      <c r="I516" s="171"/>
      <c r="J516" s="172"/>
    </row>
    <row r="517" spans="1:10" x14ac:dyDescent="0.2">
      <c r="A517" s="489"/>
      <c r="B517" s="171"/>
      <c r="C517" s="171"/>
      <c r="D517" s="171"/>
      <c r="E517" s="171"/>
      <c r="F517" s="171"/>
      <c r="G517" s="171"/>
      <c r="H517" s="171"/>
      <c r="I517" s="171"/>
      <c r="J517" s="172"/>
    </row>
    <row r="518" spans="1:10" x14ac:dyDescent="0.2">
      <c r="A518" s="489"/>
      <c r="B518" s="171"/>
      <c r="C518" s="171"/>
      <c r="D518" s="171"/>
      <c r="E518" s="171"/>
      <c r="F518" s="171"/>
      <c r="G518" s="171"/>
      <c r="H518" s="171"/>
      <c r="I518" s="171"/>
      <c r="J518" s="172"/>
    </row>
    <row r="519" spans="1:10" x14ac:dyDescent="0.2">
      <c r="A519" s="489"/>
      <c r="B519" s="171"/>
      <c r="C519" s="171"/>
      <c r="D519" s="171"/>
      <c r="E519" s="171"/>
      <c r="F519" s="171"/>
      <c r="G519" s="171"/>
      <c r="H519" s="171"/>
      <c r="I519" s="171"/>
      <c r="J519" s="172"/>
    </row>
    <row r="520" spans="1:10" x14ac:dyDescent="0.2">
      <c r="A520" s="489"/>
      <c r="B520" s="171"/>
      <c r="C520" s="171"/>
      <c r="D520" s="171"/>
      <c r="E520" s="171"/>
      <c r="F520" s="171"/>
      <c r="G520" s="171"/>
      <c r="H520" s="171"/>
      <c r="I520" s="171"/>
      <c r="J520" s="172"/>
    </row>
    <row r="521" spans="1:10" x14ac:dyDescent="0.2">
      <c r="A521" s="489"/>
      <c r="B521" s="171"/>
      <c r="C521" s="171"/>
      <c r="D521" s="171"/>
      <c r="E521" s="171"/>
      <c r="F521" s="171"/>
      <c r="G521" s="171"/>
      <c r="H521" s="171"/>
      <c r="I521" s="171"/>
      <c r="J521" s="172"/>
    </row>
    <row r="522" spans="1:10" x14ac:dyDescent="0.2">
      <c r="A522" s="489"/>
      <c r="B522" s="171"/>
      <c r="C522" s="171"/>
      <c r="D522" s="171"/>
      <c r="E522" s="171"/>
      <c r="F522" s="171"/>
      <c r="G522" s="171"/>
      <c r="H522" s="171"/>
      <c r="I522" s="171"/>
      <c r="J522" s="172"/>
    </row>
    <row r="523" spans="1:10" x14ac:dyDescent="0.2">
      <c r="A523" s="125"/>
      <c r="B523" s="126"/>
      <c r="C523" s="126"/>
      <c r="D523" s="126"/>
      <c r="E523" s="126"/>
      <c r="F523" s="126"/>
      <c r="G523" s="126"/>
      <c r="H523" s="126"/>
      <c r="I523" s="126"/>
      <c r="J523" s="82"/>
    </row>
    <row r="524" spans="1:10" x14ac:dyDescent="0.2">
      <c r="A524" s="140"/>
      <c r="B524" s="143"/>
      <c r="C524" s="143"/>
      <c r="D524" s="143"/>
      <c r="E524" s="143"/>
      <c r="F524" s="143"/>
      <c r="G524" s="143"/>
      <c r="H524" s="143"/>
      <c r="I524" s="143"/>
      <c r="J524" s="73"/>
    </row>
    <row r="525" spans="1:10" s="38" customFormat="1" x14ac:dyDescent="0.2"/>
    <row r="526" spans="1:10" s="124" customFormat="1" x14ac:dyDescent="0.2">
      <c r="A526" s="502" t="s">
        <v>589</v>
      </c>
      <c r="B526" s="502"/>
      <c r="C526" s="502"/>
      <c r="D526" s="502"/>
      <c r="E526" s="502"/>
      <c r="F526" s="502"/>
      <c r="G526" s="502"/>
      <c r="H526" s="502"/>
      <c r="I526" s="502"/>
      <c r="J526" s="502"/>
    </row>
    <row r="527" spans="1:10" x14ac:dyDescent="0.2">
      <c r="A527" s="125" t="s">
        <v>125</v>
      </c>
      <c r="B527" s="169">
        <v>1</v>
      </c>
      <c r="C527" s="169">
        <v>1</v>
      </c>
      <c r="D527" s="169">
        <v>1</v>
      </c>
      <c r="E527" s="169">
        <v>0.8</v>
      </c>
      <c r="F527" s="169">
        <v>0.8</v>
      </c>
      <c r="G527" s="169">
        <v>0.8</v>
      </c>
      <c r="H527" s="169">
        <v>0.6</v>
      </c>
      <c r="I527" s="169">
        <v>0.6</v>
      </c>
      <c r="J527" s="170">
        <v>0.5</v>
      </c>
    </row>
    <row r="528" spans="1:10" x14ac:dyDescent="0.2">
      <c r="A528" s="127" t="s">
        <v>124</v>
      </c>
      <c r="B528" s="135">
        <f t="shared" ref="B528:J528" si="205">ROUND(B527*B31,1)</f>
        <v>14600</v>
      </c>
      <c r="C528" s="135">
        <f t="shared" si="205"/>
        <v>29200</v>
      </c>
      <c r="D528" s="135">
        <f t="shared" si="205"/>
        <v>43800</v>
      </c>
      <c r="E528" s="135">
        <f t="shared" si="205"/>
        <v>46720</v>
      </c>
      <c r="F528" s="135">
        <f t="shared" si="205"/>
        <v>58400</v>
      </c>
      <c r="G528" s="135">
        <f t="shared" si="205"/>
        <v>70080</v>
      </c>
      <c r="H528" s="135">
        <f t="shared" si="205"/>
        <v>61320</v>
      </c>
      <c r="I528" s="135">
        <f t="shared" si="205"/>
        <v>70080</v>
      </c>
      <c r="J528" s="136">
        <f t="shared" si="205"/>
        <v>65700</v>
      </c>
    </row>
    <row r="529" spans="1:11" x14ac:dyDescent="0.2">
      <c r="A529" s="125" t="s">
        <v>656</v>
      </c>
      <c r="B529" s="169">
        <v>0</v>
      </c>
      <c r="C529" s="169">
        <v>0</v>
      </c>
      <c r="D529" s="169">
        <v>0</v>
      </c>
      <c r="E529" s="169">
        <v>0.2</v>
      </c>
      <c r="F529" s="169">
        <v>0.2</v>
      </c>
      <c r="G529" s="169">
        <v>0.2</v>
      </c>
      <c r="H529" s="169">
        <v>0.4</v>
      </c>
      <c r="I529" s="169">
        <v>0.4</v>
      </c>
      <c r="J529" s="170">
        <v>0.5</v>
      </c>
    </row>
    <row r="530" spans="1:11" x14ac:dyDescent="0.2">
      <c r="A530" s="125" t="s">
        <v>657</v>
      </c>
      <c r="B530" s="135">
        <f t="shared" ref="B530:J530" si="206">ROUND(B529*B31,1)</f>
        <v>0</v>
      </c>
      <c r="C530" s="135">
        <f t="shared" si="206"/>
        <v>0</v>
      </c>
      <c r="D530" s="135">
        <f t="shared" si="206"/>
        <v>0</v>
      </c>
      <c r="E530" s="135">
        <f t="shared" si="206"/>
        <v>11680</v>
      </c>
      <c r="F530" s="135">
        <f t="shared" si="206"/>
        <v>14600</v>
      </c>
      <c r="G530" s="135">
        <f t="shared" si="206"/>
        <v>17520</v>
      </c>
      <c r="H530" s="135">
        <f t="shared" si="206"/>
        <v>40880</v>
      </c>
      <c r="I530" s="135">
        <f t="shared" si="206"/>
        <v>46720</v>
      </c>
      <c r="J530" s="136">
        <f t="shared" si="206"/>
        <v>65700</v>
      </c>
    </row>
    <row r="531" spans="1:11" x14ac:dyDescent="0.2">
      <c r="A531" s="125"/>
      <c r="B531" s="169"/>
      <c r="C531" s="169"/>
      <c r="D531" s="169"/>
      <c r="E531" s="169"/>
      <c r="F531" s="169"/>
      <c r="G531" s="169"/>
      <c r="H531" s="169"/>
      <c r="I531" s="169"/>
      <c r="J531" s="170"/>
    </row>
    <row r="532" spans="1:11" x14ac:dyDescent="0.2">
      <c r="A532" s="125"/>
      <c r="B532" s="135"/>
      <c r="C532" s="135"/>
      <c r="D532" s="135"/>
      <c r="E532" s="135"/>
      <c r="F532" s="135"/>
      <c r="G532" s="135"/>
      <c r="H532" s="135"/>
      <c r="I532" s="135"/>
      <c r="J532" s="136"/>
    </row>
    <row r="533" spans="1:11" x14ac:dyDescent="0.2">
      <c r="A533" s="125" t="s">
        <v>73</v>
      </c>
      <c r="B533" s="135">
        <f>B528+B530</f>
        <v>14600</v>
      </c>
      <c r="C533" s="135">
        <f t="shared" ref="C533:J533" si="207">C528+C530</f>
        <v>29200</v>
      </c>
      <c r="D533" s="135">
        <f t="shared" si="207"/>
        <v>43800</v>
      </c>
      <c r="E533" s="135">
        <f t="shared" si="207"/>
        <v>58400</v>
      </c>
      <c r="F533" s="135">
        <f t="shared" si="207"/>
        <v>73000</v>
      </c>
      <c r="G533" s="135">
        <f t="shared" si="207"/>
        <v>87600</v>
      </c>
      <c r="H533" s="135">
        <f t="shared" si="207"/>
        <v>102200</v>
      </c>
      <c r="I533" s="135">
        <f t="shared" si="207"/>
        <v>116800</v>
      </c>
      <c r="J533" s="135">
        <f t="shared" si="207"/>
        <v>131400</v>
      </c>
    </row>
    <row r="534" spans="1:11" x14ac:dyDescent="0.2">
      <c r="A534" s="125" t="s">
        <v>29</v>
      </c>
      <c r="B534" s="135">
        <f t="shared" ref="B534:J534" si="208">B31-B533</f>
        <v>0</v>
      </c>
      <c r="C534" s="135">
        <f t="shared" si="208"/>
        <v>0</v>
      </c>
      <c r="D534" s="135">
        <f t="shared" si="208"/>
        <v>0</v>
      </c>
      <c r="E534" s="135">
        <f t="shared" si="208"/>
        <v>0</v>
      </c>
      <c r="F534" s="135">
        <f t="shared" si="208"/>
        <v>0</v>
      </c>
      <c r="G534" s="135">
        <f t="shared" si="208"/>
        <v>0</v>
      </c>
      <c r="H534" s="135">
        <f t="shared" si="208"/>
        <v>0</v>
      </c>
      <c r="I534" s="135">
        <f t="shared" si="208"/>
        <v>0</v>
      </c>
      <c r="J534" s="136">
        <f t="shared" si="208"/>
        <v>0</v>
      </c>
      <c r="K534" s="29"/>
    </row>
    <row r="535" spans="1:11" x14ac:dyDescent="0.2">
      <c r="B535" s="29"/>
      <c r="C535" s="29"/>
      <c r="D535" s="29"/>
      <c r="E535" s="29"/>
      <c r="F535" s="29"/>
      <c r="G535" s="29"/>
      <c r="H535" s="29"/>
      <c r="I535" s="29"/>
      <c r="J535" s="29"/>
    </row>
    <row r="536" spans="1:11" x14ac:dyDescent="0.2">
      <c r="A536" s="125" t="s">
        <v>70</v>
      </c>
      <c r="B536" s="169">
        <v>1</v>
      </c>
      <c r="C536" s="169">
        <v>1</v>
      </c>
      <c r="D536" s="169">
        <v>1</v>
      </c>
      <c r="E536" s="169">
        <v>0.8</v>
      </c>
      <c r="F536" s="169">
        <v>0.8</v>
      </c>
      <c r="G536" s="169">
        <v>0.8</v>
      </c>
      <c r="H536" s="169">
        <v>0.6</v>
      </c>
      <c r="I536" s="169">
        <v>0.6</v>
      </c>
      <c r="J536" s="170">
        <v>0.5</v>
      </c>
    </row>
    <row r="537" spans="1:11" x14ac:dyDescent="0.2">
      <c r="A537" s="125" t="s">
        <v>71</v>
      </c>
      <c r="B537" s="135">
        <f t="shared" ref="B537:J537" si="209">ROUND(B536*B34,1)</f>
        <v>6716</v>
      </c>
      <c r="C537" s="135">
        <f t="shared" si="209"/>
        <v>13432</v>
      </c>
      <c r="D537" s="135">
        <f t="shared" si="209"/>
        <v>20148</v>
      </c>
      <c r="E537" s="135">
        <f t="shared" si="209"/>
        <v>21491.200000000001</v>
      </c>
      <c r="F537" s="135">
        <f t="shared" si="209"/>
        <v>26864</v>
      </c>
      <c r="G537" s="135">
        <f t="shared" si="209"/>
        <v>32236.799999999999</v>
      </c>
      <c r="H537" s="135">
        <f t="shared" si="209"/>
        <v>28207.200000000001</v>
      </c>
      <c r="I537" s="135">
        <f t="shared" si="209"/>
        <v>32236.799999999999</v>
      </c>
      <c r="J537" s="136">
        <f t="shared" si="209"/>
        <v>30222</v>
      </c>
    </row>
    <row r="538" spans="1:11" x14ac:dyDescent="0.2">
      <c r="A538" s="125" t="s">
        <v>659</v>
      </c>
      <c r="B538" s="169">
        <v>0</v>
      </c>
      <c r="C538" s="169">
        <v>0</v>
      </c>
      <c r="D538" s="169">
        <v>0</v>
      </c>
      <c r="E538" s="169">
        <v>0.2</v>
      </c>
      <c r="F538" s="169">
        <v>0.2</v>
      </c>
      <c r="G538" s="169">
        <v>0.2</v>
      </c>
      <c r="H538" s="169">
        <v>0.4</v>
      </c>
      <c r="I538" s="169">
        <v>0.4</v>
      </c>
      <c r="J538" s="170">
        <v>0.5</v>
      </c>
    </row>
    <row r="539" spans="1:11" x14ac:dyDescent="0.2">
      <c r="A539" s="125" t="s">
        <v>658</v>
      </c>
      <c r="B539" s="135">
        <f>ROUND(B538*B527,1)</f>
        <v>0</v>
      </c>
      <c r="C539" s="135">
        <f t="shared" ref="C539:J539" si="210">ROUND(C538*C34,1)</f>
        <v>0</v>
      </c>
      <c r="D539" s="135">
        <f t="shared" si="210"/>
        <v>0</v>
      </c>
      <c r="E539" s="135">
        <f t="shared" si="210"/>
        <v>5372.8</v>
      </c>
      <c r="F539" s="135">
        <f t="shared" si="210"/>
        <v>6716</v>
      </c>
      <c r="G539" s="135">
        <f t="shared" si="210"/>
        <v>8059.2</v>
      </c>
      <c r="H539" s="135">
        <f t="shared" si="210"/>
        <v>18804.8</v>
      </c>
      <c r="I539" s="135">
        <f t="shared" si="210"/>
        <v>21491.200000000001</v>
      </c>
      <c r="J539" s="136">
        <f t="shared" si="210"/>
        <v>30222</v>
      </c>
    </row>
    <row r="540" spans="1:11" x14ac:dyDescent="0.2">
      <c r="A540" s="125"/>
      <c r="B540" s="169"/>
      <c r="C540" s="169"/>
      <c r="D540" s="169"/>
      <c r="E540" s="169"/>
      <c r="F540" s="169"/>
      <c r="G540" s="169"/>
      <c r="H540" s="169"/>
      <c r="I540" s="169"/>
      <c r="J540" s="170"/>
    </row>
    <row r="541" spans="1:11" x14ac:dyDescent="0.2">
      <c r="A541" s="125"/>
      <c r="B541" s="135"/>
      <c r="C541" s="135"/>
      <c r="D541" s="135"/>
      <c r="E541" s="135"/>
      <c r="F541" s="135"/>
      <c r="G541" s="135"/>
      <c r="H541" s="135"/>
      <c r="I541" s="135"/>
      <c r="J541" s="136"/>
    </row>
    <row r="542" spans="1:11" x14ac:dyDescent="0.2">
      <c r="A542" s="125" t="s">
        <v>72</v>
      </c>
      <c r="B542" s="135">
        <f>B537+B539</f>
        <v>6716</v>
      </c>
      <c r="C542" s="135">
        <f>C537+C539</f>
        <v>13432</v>
      </c>
      <c r="D542" s="135">
        <f t="shared" ref="D542:J542" si="211">D537+D539</f>
        <v>20148</v>
      </c>
      <c r="E542" s="135">
        <f t="shared" si="211"/>
        <v>26864</v>
      </c>
      <c r="F542" s="135">
        <f t="shared" si="211"/>
        <v>33580</v>
      </c>
      <c r="G542" s="135">
        <f t="shared" si="211"/>
        <v>40296</v>
      </c>
      <c r="H542" s="135">
        <f t="shared" si="211"/>
        <v>47012</v>
      </c>
      <c r="I542" s="135">
        <f t="shared" si="211"/>
        <v>53728</v>
      </c>
      <c r="J542" s="135">
        <f t="shared" si="211"/>
        <v>60444</v>
      </c>
    </row>
    <row r="543" spans="1:11" x14ac:dyDescent="0.2">
      <c r="A543" s="125" t="s">
        <v>29</v>
      </c>
      <c r="B543" s="135">
        <f>ROUND(B542*B531,1)</f>
        <v>0</v>
      </c>
      <c r="C543" s="135">
        <f t="shared" ref="C543:J543" si="212">C34-C542</f>
        <v>0</v>
      </c>
      <c r="D543" s="135">
        <f t="shared" si="212"/>
        <v>0</v>
      </c>
      <c r="E543" s="135">
        <f t="shared" si="212"/>
        <v>0</v>
      </c>
      <c r="F543" s="135">
        <f t="shared" si="212"/>
        <v>0</v>
      </c>
      <c r="G543" s="135">
        <f t="shared" si="212"/>
        <v>0</v>
      </c>
      <c r="H543" s="135">
        <f t="shared" si="212"/>
        <v>0</v>
      </c>
      <c r="I543" s="135">
        <f t="shared" si="212"/>
        <v>0</v>
      </c>
      <c r="J543" s="136">
        <f t="shared" si="212"/>
        <v>0</v>
      </c>
      <c r="K543" s="29"/>
    </row>
    <row r="545" spans="1:10" x14ac:dyDescent="0.2">
      <c r="A545" s="213" t="s">
        <v>402</v>
      </c>
      <c r="B545" s="173">
        <v>0.95399999999999996</v>
      </c>
      <c r="C545" s="173">
        <v>0.95399999999999996</v>
      </c>
      <c r="D545" s="173">
        <v>0.95399999999999996</v>
      </c>
      <c r="E545" s="173">
        <v>0.95399999999999996</v>
      </c>
      <c r="F545" s="173">
        <v>0.95399999999999996</v>
      </c>
      <c r="G545" s="173">
        <v>0.95399999999999996</v>
      </c>
      <c r="H545" s="173">
        <v>0.95399999999999996</v>
      </c>
      <c r="I545" s="173">
        <v>0.95399999999999996</v>
      </c>
      <c r="J545" s="174">
        <v>0.95399999999999996</v>
      </c>
    </row>
    <row r="546" spans="1:10" x14ac:dyDescent="0.2">
      <c r="A546" s="125" t="s">
        <v>403</v>
      </c>
      <c r="B546" s="171">
        <v>400</v>
      </c>
      <c r="C546" s="171">
        <v>400</v>
      </c>
      <c r="D546" s="171">
        <v>400</v>
      </c>
      <c r="E546" s="171">
        <v>400</v>
      </c>
      <c r="F546" s="171">
        <v>400</v>
      </c>
      <c r="G546" s="171">
        <v>400</v>
      </c>
      <c r="H546" s="171">
        <v>400</v>
      </c>
      <c r="I546" s="171">
        <v>400</v>
      </c>
      <c r="J546" s="172">
        <v>400</v>
      </c>
    </row>
    <row r="547" spans="1:10" x14ac:dyDescent="0.2">
      <c r="A547" s="139" t="s">
        <v>264</v>
      </c>
      <c r="B547" s="230">
        <v>1</v>
      </c>
      <c r="C547" s="230">
        <v>1</v>
      </c>
      <c r="D547" s="230">
        <v>1</v>
      </c>
      <c r="E547" s="230">
        <v>1</v>
      </c>
      <c r="F547" s="230">
        <v>1</v>
      </c>
      <c r="G547" s="230">
        <v>1</v>
      </c>
      <c r="H547" s="230">
        <v>1</v>
      </c>
      <c r="I547" s="230">
        <v>1</v>
      </c>
      <c r="J547" s="231">
        <v>1</v>
      </c>
    </row>
    <row r="548" spans="1:10" x14ac:dyDescent="0.2">
      <c r="A548" s="139" t="s">
        <v>246</v>
      </c>
      <c r="B548" s="230">
        <v>1.6</v>
      </c>
      <c r="C548" s="230">
        <v>1.6</v>
      </c>
      <c r="D548" s="230">
        <v>1.6</v>
      </c>
      <c r="E548" s="230">
        <v>1.6</v>
      </c>
      <c r="F548" s="230">
        <v>1.6</v>
      </c>
      <c r="G548" s="230">
        <v>1.6</v>
      </c>
      <c r="H548" s="230">
        <v>1.6</v>
      </c>
      <c r="I548" s="230">
        <v>1.6</v>
      </c>
      <c r="J548" s="231">
        <v>1.6</v>
      </c>
    </row>
    <row r="549" spans="1:10" x14ac:dyDescent="0.2">
      <c r="A549" s="139" t="s">
        <v>673</v>
      </c>
      <c r="B549" s="230">
        <v>1.2</v>
      </c>
      <c r="C549" s="230">
        <v>1.2</v>
      </c>
      <c r="D549" s="230">
        <v>1.2</v>
      </c>
      <c r="E549" s="230">
        <v>1.2</v>
      </c>
      <c r="F549" s="230">
        <v>1.2</v>
      </c>
      <c r="G549" s="230">
        <v>1.2</v>
      </c>
      <c r="H549" s="230">
        <v>1.2</v>
      </c>
      <c r="I549" s="230">
        <v>1.2</v>
      </c>
      <c r="J549" s="231">
        <v>1.2</v>
      </c>
    </row>
    <row r="550" spans="1:10" x14ac:dyDescent="0.2">
      <c r="A550" s="139" t="s">
        <v>672</v>
      </c>
      <c r="B550" s="230">
        <f>(1.9+2.75+3.25)/3</f>
        <v>2.6333333333333333</v>
      </c>
      <c r="C550" s="230">
        <f t="shared" ref="C550:J550" si="213">(1.9+2.75+3.25)/3</f>
        <v>2.6333333333333333</v>
      </c>
      <c r="D550" s="230">
        <f t="shared" si="213"/>
        <v>2.6333333333333333</v>
      </c>
      <c r="E550" s="230">
        <f t="shared" si="213"/>
        <v>2.6333333333333333</v>
      </c>
      <c r="F550" s="230">
        <f t="shared" si="213"/>
        <v>2.6333333333333333</v>
      </c>
      <c r="G550" s="230">
        <f t="shared" si="213"/>
        <v>2.6333333333333333</v>
      </c>
      <c r="H550" s="230">
        <f t="shared" si="213"/>
        <v>2.6333333333333333</v>
      </c>
      <c r="I550" s="230">
        <f t="shared" si="213"/>
        <v>2.6333333333333333</v>
      </c>
      <c r="J550" s="230">
        <f t="shared" si="213"/>
        <v>2.6333333333333333</v>
      </c>
    </row>
    <row r="551" spans="1:10" x14ac:dyDescent="0.2">
      <c r="A551" s="139"/>
      <c r="B551" s="230"/>
      <c r="C551" s="230"/>
      <c r="D551" s="230"/>
      <c r="E551" s="230"/>
      <c r="F551" s="230"/>
      <c r="G551" s="230"/>
      <c r="H551" s="230"/>
      <c r="I551" s="230"/>
      <c r="J551" s="231"/>
    </row>
    <row r="552" spans="1:10" x14ac:dyDescent="0.2">
      <c r="A552" s="139"/>
      <c r="B552" s="230"/>
      <c r="C552" s="230"/>
      <c r="D552" s="230"/>
      <c r="E552" s="230"/>
      <c r="F552" s="230"/>
      <c r="G552" s="230"/>
      <c r="H552" s="230"/>
      <c r="I552" s="230"/>
      <c r="J552" s="231"/>
    </row>
    <row r="554" spans="1:10" x14ac:dyDescent="0.2">
      <c r="A554" s="67" t="s">
        <v>247</v>
      </c>
      <c r="B554" s="67" t="s">
        <v>406</v>
      </c>
      <c r="C554" s="67"/>
      <c r="D554" s="67"/>
      <c r="E554" s="67"/>
      <c r="F554" s="67"/>
      <c r="G554" s="67"/>
      <c r="H554" s="67"/>
      <c r="I554" s="67"/>
      <c r="J554" s="67"/>
    </row>
    <row r="555" spans="1:10" x14ac:dyDescent="0.2">
      <c r="A555" s="155" t="s">
        <v>263</v>
      </c>
      <c r="B555" s="126">
        <f>ROUND((B547*(0.3+(0.7*B545)))*B546*1.03,0)</f>
        <v>399</v>
      </c>
      <c r="C555" s="126">
        <f t="shared" ref="C555:J555" si="214">ROUND((C547*(0.3+(0.7*C545)))*C546*1.03,0)</f>
        <v>399</v>
      </c>
      <c r="D555" s="126">
        <f t="shared" si="214"/>
        <v>399</v>
      </c>
      <c r="E555" s="126">
        <f t="shared" si="214"/>
        <v>399</v>
      </c>
      <c r="F555" s="126">
        <f t="shared" si="214"/>
        <v>399</v>
      </c>
      <c r="G555" s="126">
        <f t="shared" si="214"/>
        <v>399</v>
      </c>
      <c r="H555" s="126">
        <f t="shared" si="214"/>
        <v>399</v>
      </c>
      <c r="I555" s="126">
        <f t="shared" si="214"/>
        <v>399</v>
      </c>
      <c r="J555" s="82">
        <f t="shared" si="214"/>
        <v>399</v>
      </c>
    </row>
    <row r="556" spans="1:10" x14ac:dyDescent="0.2">
      <c r="A556" s="155" t="s">
        <v>245</v>
      </c>
      <c r="B556" s="126">
        <f>ROUND((B548*(0.3+(0.7*B545)))*B546*1.03,0)</f>
        <v>638</v>
      </c>
      <c r="C556" s="126">
        <f t="shared" ref="C556:J556" si="215">ROUND((C548*(0.3+(0.7*C545)))*C546*1.03,0)</f>
        <v>638</v>
      </c>
      <c r="D556" s="126">
        <f t="shared" si="215"/>
        <v>638</v>
      </c>
      <c r="E556" s="126">
        <f t="shared" si="215"/>
        <v>638</v>
      </c>
      <c r="F556" s="126">
        <f t="shared" si="215"/>
        <v>638</v>
      </c>
      <c r="G556" s="126">
        <f t="shared" si="215"/>
        <v>638</v>
      </c>
      <c r="H556" s="126">
        <f t="shared" si="215"/>
        <v>638</v>
      </c>
      <c r="I556" s="126">
        <f t="shared" si="215"/>
        <v>638</v>
      </c>
      <c r="J556" s="82">
        <f t="shared" si="215"/>
        <v>638</v>
      </c>
    </row>
    <row r="557" spans="1:10" x14ac:dyDescent="0.2">
      <c r="A557" s="155" t="s">
        <v>662</v>
      </c>
      <c r="B557" s="126">
        <f>ROUND((B549*(0.3+(0.7*B545)))*B546*1.03,0)</f>
        <v>478</v>
      </c>
      <c r="C557" s="126">
        <f t="shared" ref="C557:J557" si="216">ROUND((C549*(0.3+(0.7*C545)))*C546*1.03,0)</f>
        <v>478</v>
      </c>
      <c r="D557" s="126">
        <f t="shared" si="216"/>
        <v>478</v>
      </c>
      <c r="E557" s="126">
        <f t="shared" si="216"/>
        <v>478</v>
      </c>
      <c r="F557" s="126">
        <f t="shared" si="216"/>
        <v>478</v>
      </c>
      <c r="G557" s="126">
        <f t="shared" si="216"/>
        <v>478</v>
      </c>
      <c r="H557" s="126">
        <f t="shared" si="216"/>
        <v>478</v>
      </c>
      <c r="I557" s="126">
        <f t="shared" si="216"/>
        <v>478</v>
      </c>
      <c r="J557" s="82">
        <f t="shared" si="216"/>
        <v>478</v>
      </c>
    </row>
    <row r="558" spans="1:10" x14ac:dyDescent="0.2">
      <c r="A558" s="155" t="s">
        <v>674</v>
      </c>
      <c r="B558" s="126">
        <f>ROUND((B550*(0.3+(0.7*B545)))*B546*1.03,0)</f>
        <v>1050</v>
      </c>
      <c r="C558" s="126">
        <f t="shared" ref="C558:J558" si="217">ROUND((C550*(0.3+(0.7*C545)))*C546*1.03,0)</f>
        <v>1050</v>
      </c>
      <c r="D558" s="126">
        <f t="shared" si="217"/>
        <v>1050</v>
      </c>
      <c r="E558" s="126">
        <f t="shared" si="217"/>
        <v>1050</v>
      </c>
      <c r="F558" s="126">
        <f t="shared" si="217"/>
        <v>1050</v>
      </c>
      <c r="G558" s="126">
        <f t="shared" si="217"/>
        <v>1050</v>
      </c>
      <c r="H558" s="126">
        <f t="shared" si="217"/>
        <v>1050</v>
      </c>
      <c r="I558" s="126">
        <f t="shared" si="217"/>
        <v>1050</v>
      </c>
      <c r="J558" s="82">
        <f t="shared" si="217"/>
        <v>1050</v>
      </c>
    </row>
    <row r="559" spans="1:10" x14ac:dyDescent="0.2">
      <c r="A559" s="155"/>
      <c r="B559" s="126"/>
      <c r="C559" s="126"/>
      <c r="D559" s="126"/>
      <c r="E559" s="126"/>
      <c r="F559" s="126"/>
      <c r="G559" s="126"/>
      <c r="H559" s="126"/>
      <c r="I559" s="126"/>
      <c r="J559" s="82"/>
    </row>
    <row r="560" spans="1:10" x14ac:dyDescent="0.2">
      <c r="A560" s="155"/>
      <c r="B560" s="126"/>
      <c r="C560" s="126"/>
      <c r="D560" s="126"/>
      <c r="E560" s="126"/>
      <c r="F560" s="126"/>
      <c r="G560" s="126"/>
      <c r="H560" s="126"/>
      <c r="I560" s="126"/>
      <c r="J560" s="82"/>
    </row>
    <row r="561" spans="1:11" s="38" customFormat="1" x14ac:dyDescent="0.2"/>
    <row r="562" spans="1:11" s="124" customFormat="1" x14ac:dyDescent="0.2">
      <c r="A562" s="502" t="s">
        <v>590</v>
      </c>
      <c r="B562" s="502"/>
      <c r="C562" s="502"/>
      <c r="D562" s="502"/>
      <c r="E562" s="502"/>
      <c r="F562" s="502"/>
      <c r="G562" s="502"/>
      <c r="H562" s="502"/>
      <c r="I562" s="502"/>
      <c r="J562" s="502"/>
    </row>
    <row r="563" spans="1:11" x14ac:dyDescent="0.2">
      <c r="A563" s="67" t="s">
        <v>248</v>
      </c>
      <c r="B563" s="67"/>
      <c r="C563" s="67"/>
      <c r="D563" s="67"/>
      <c r="E563" s="67"/>
      <c r="F563" s="67"/>
      <c r="G563" s="67"/>
      <c r="H563" s="67"/>
      <c r="I563" s="67"/>
      <c r="J563" s="67"/>
    </row>
    <row r="564" spans="1:11" x14ac:dyDescent="0.2">
      <c r="A564" s="155" t="s">
        <v>263</v>
      </c>
      <c r="B564" s="126">
        <f t="shared" ref="B564:J564" si="218">ROUND(B555*B21,0)</f>
        <v>81995</v>
      </c>
      <c r="C564" s="126">
        <f t="shared" si="218"/>
        <v>163989</v>
      </c>
      <c r="D564" s="126">
        <f t="shared" si="218"/>
        <v>245704</v>
      </c>
      <c r="E564" s="126">
        <f t="shared" si="218"/>
        <v>278741</v>
      </c>
      <c r="F564" s="126">
        <f t="shared" si="218"/>
        <v>307509</v>
      </c>
      <c r="G564" s="126">
        <f t="shared" si="218"/>
        <v>344177</v>
      </c>
      <c r="H564" s="126">
        <f t="shared" si="218"/>
        <v>348327</v>
      </c>
      <c r="I564" s="126">
        <f t="shared" si="218"/>
        <v>398003</v>
      </c>
      <c r="J564" s="82">
        <f t="shared" si="218"/>
        <v>447838</v>
      </c>
      <c r="K564" s="34"/>
    </row>
    <row r="565" spans="1:11" x14ac:dyDescent="0.2">
      <c r="A565" s="155" t="s">
        <v>245</v>
      </c>
      <c r="B565" s="126">
        <f t="shared" ref="B565:J565" si="219">ROUND(B556*B22,0)</f>
        <v>43703</v>
      </c>
      <c r="C565" s="126">
        <f t="shared" si="219"/>
        <v>87406</v>
      </c>
      <c r="D565" s="126">
        <f t="shared" si="219"/>
        <v>130981</v>
      </c>
      <c r="E565" s="126">
        <f t="shared" si="219"/>
        <v>148782</v>
      </c>
      <c r="F565" s="126">
        <f t="shared" si="219"/>
        <v>164221</v>
      </c>
      <c r="G565" s="126">
        <f t="shared" si="219"/>
        <v>183425</v>
      </c>
      <c r="H565" s="126">
        <f t="shared" si="219"/>
        <v>186041</v>
      </c>
      <c r="I565" s="126">
        <f t="shared" si="219"/>
        <v>212582</v>
      </c>
      <c r="J565" s="82">
        <f t="shared" si="219"/>
        <v>239186</v>
      </c>
      <c r="K565" s="34"/>
    </row>
    <row r="566" spans="1:11" x14ac:dyDescent="0.2">
      <c r="A566" s="155" t="s">
        <v>662</v>
      </c>
      <c r="B566" s="126">
        <f t="shared" ref="B566:J566" si="220">ROUND(B557*B23,0)</f>
        <v>0</v>
      </c>
      <c r="C566" s="126">
        <f t="shared" si="220"/>
        <v>0</v>
      </c>
      <c r="D566" s="126">
        <f t="shared" si="220"/>
        <v>0</v>
      </c>
      <c r="E566" s="126">
        <f t="shared" si="220"/>
        <v>52341</v>
      </c>
      <c r="F566" s="126">
        <f t="shared" si="220"/>
        <v>98181</v>
      </c>
      <c r="G566" s="126">
        <f t="shared" si="220"/>
        <v>141345</v>
      </c>
      <c r="H566" s="126">
        <f t="shared" si="220"/>
        <v>188141</v>
      </c>
      <c r="I566" s="126">
        <f t="shared" si="220"/>
        <v>214957</v>
      </c>
      <c r="J566" s="82">
        <f t="shared" si="220"/>
        <v>241868</v>
      </c>
      <c r="K566" s="34"/>
    </row>
    <row r="567" spans="1:11" x14ac:dyDescent="0.2">
      <c r="A567" s="155" t="s">
        <v>674</v>
      </c>
      <c r="B567" s="126">
        <f t="shared" ref="B567:J567" si="221">ROUND(B558*B24,0)</f>
        <v>0</v>
      </c>
      <c r="C567" s="126">
        <f t="shared" si="221"/>
        <v>0</v>
      </c>
      <c r="D567" s="126">
        <f t="shared" si="221"/>
        <v>0</v>
      </c>
      <c r="E567" s="126">
        <f t="shared" si="221"/>
        <v>57540</v>
      </c>
      <c r="F567" s="126">
        <f t="shared" si="221"/>
        <v>143745</v>
      </c>
      <c r="G567" s="126">
        <f t="shared" si="221"/>
        <v>207060</v>
      </c>
      <c r="H567" s="126">
        <f t="shared" si="221"/>
        <v>244230</v>
      </c>
      <c r="I567" s="126">
        <f t="shared" si="221"/>
        <v>278985</v>
      </c>
      <c r="J567" s="82">
        <f t="shared" si="221"/>
        <v>313950</v>
      </c>
      <c r="K567" s="34"/>
    </row>
    <row r="568" spans="1:11" x14ac:dyDescent="0.2">
      <c r="A568" s="155"/>
      <c r="B568" s="126"/>
      <c r="C568" s="126"/>
      <c r="D568" s="126"/>
      <c r="E568" s="126"/>
      <c r="F568" s="126"/>
      <c r="G568" s="126"/>
      <c r="H568" s="126"/>
      <c r="I568" s="126"/>
      <c r="J568" s="82"/>
      <c r="K568" s="34"/>
    </row>
    <row r="569" spans="1:11" x14ac:dyDescent="0.2">
      <c r="A569" s="155"/>
      <c r="B569" s="126"/>
      <c r="C569" s="126"/>
      <c r="D569" s="126"/>
      <c r="E569" s="126"/>
      <c r="F569" s="126"/>
      <c r="G569" s="126"/>
      <c r="H569" s="126"/>
      <c r="I569" s="126"/>
      <c r="J569" s="82"/>
      <c r="K569" s="34"/>
    </row>
    <row r="570" spans="1:11" x14ac:dyDescent="0.2">
      <c r="A570" s="125" t="s">
        <v>248</v>
      </c>
      <c r="B570" s="126">
        <f>SUBTOTAL(9,B564:B569)</f>
        <v>125698</v>
      </c>
      <c r="C570" s="126">
        <f t="shared" ref="C570:J570" si="222">SUBTOTAL(9,C564:C569)</f>
        <v>251395</v>
      </c>
      <c r="D570" s="126">
        <f t="shared" si="222"/>
        <v>376685</v>
      </c>
      <c r="E570" s="126">
        <f t="shared" si="222"/>
        <v>537404</v>
      </c>
      <c r="F570" s="126">
        <f t="shared" si="222"/>
        <v>713656</v>
      </c>
      <c r="G570" s="126">
        <f t="shared" si="222"/>
        <v>876007</v>
      </c>
      <c r="H570" s="126">
        <f t="shared" si="222"/>
        <v>966739</v>
      </c>
      <c r="I570" s="126">
        <f t="shared" si="222"/>
        <v>1104527</v>
      </c>
      <c r="J570" s="82">
        <f t="shared" si="222"/>
        <v>1242842</v>
      </c>
      <c r="K570" s="34"/>
    </row>
    <row r="572" spans="1:11" x14ac:dyDescent="0.2">
      <c r="A572" s="125" t="s">
        <v>381</v>
      </c>
      <c r="B572" s="200">
        <v>0.7</v>
      </c>
      <c r="C572" s="200">
        <v>0.7</v>
      </c>
      <c r="D572" s="200">
        <v>0.7</v>
      </c>
      <c r="E572" s="200">
        <v>0.7</v>
      </c>
      <c r="F572" s="200">
        <v>0.7</v>
      </c>
      <c r="G572" s="200">
        <v>0.7</v>
      </c>
      <c r="H572" s="200">
        <v>0.7</v>
      </c>
      <c r="I572" s="200">
        <v>0.7</v>
      </c>
      <c r="J572" s="201">
        <v>0.7</v>
      </c>
    </row>
    <row r="573" spans="1:11" x14ac:dyDescent="0.2">
      <c r="A573" s="155" t="s">
        <v>263</v>
      </c>
      <c r="B573" s="126">
        <f>ROUND(B564*B572,0)</f>
        <v>57397</v>
      </c>
      <c r="C573" s="126">
        <f t="shared" ref="C573:J573" si="223">ROUND(C564*C572,0)</f>
        <v>114792</v>
      </c>
      <c r="D573" s="126">
        <f t="shared" si="223"/>
        <v>171993</v>
      </c>
      <c r="E573" s="126">
        <f t="shared" si="223"/>
        <v>195119</v>
      </c>
      <c r="F573" s="126">
        <f t="shared" si="223"/>
        <v>215256</v>
      </c>
      <c r="G573" s="126">
        <f t="shared" si="223"/>
        <v>240924</v>
      </c>
      <c r="H573" s="126">
        <f t="shared" si="223"/>
        <v>243829</v>
      </c>
      <c r="I573" s="126">
        <f t="shared" si="223"/>
        <v>278602</v>
      </c>
      <c r="J573" s="82">
        <f t="shared" si="223"/>
        <v>313487</v>
      </c>
      <c r="K573" s="34"/>
    </row>
    <row r="574" spans="1:11" x14ac:dyDescent="0.2">
      <c r="A574" s="155" t="s">
        <v>245</v>
      </c>
      <c r="B574" s="126">
        <f>ROUND(B565*B572,0)</f>
        <v>30592</v>
      </c>
      <c r="C574" s="126">
        <f t="shared" ref="C574:J574" si="224">ROUND(C565*C572,0)</f>
        <v>61184</v>
      </c>
      <c r="D574" s="126">
        <f t="shared" si="224"/>
        <v>91687</v>
      </c>
      <c r="E574" s="126">
        <f t="shared" si="224"/>
        <v>104147</v>
      </c>
      <c r="F574" s="126">
        <f t="shared" si="224"/>
        <v>114955</v>
      </c>
      <c r="G574" s="126">
        <f t="shared" si="224"/>
        <v>128398</v>
      </c>
      <c r="H574" s="126">
        <f t="shared" si="224"/>
        <v>130229</v>
      </c>
      <c r="I574" s="126">
        <f t="shared" si="224"/>
        <v>148807</v>
      </c>
      <c r="J574" s="82">
        <f t="shared" si="224"/>
        <v>167430</v>
      </c>
      <c r="K574" s="34"/>
    </row>
    <row r="575" spans="1:11" x14ac:dyDescent="0.2">
      <c r="A575" s="155" t="s">
        <v>662</v>
      </c>
      <c r="B575" s="126">
        <f>ROUND(B566*B572,0)</f>
        <v>0</v>
      </c>
      <c r="C575" s="126">
        <f t="shared" ref="C575:J575" si="225">ROUND(C566*C572,0)</f>
        <v>0</v>
      </c>
      <c r="D575" s="126">
        <f t="shared" si="225"/>
        <v>0</v>
      </c>
      <c r="E575" s="126">
        <f t="shared" si="225"/>
        <v>36639</v>
      </c>
      <c r="F575" s="126">
        <f t="shared" si="225"/>
        <v>68727</v>
      </c>
      <c r="G575" s="126">
        <f t="shared" si="225"/>
        <v>98942</v>
      </c>
      <c r="H575" s="126">
        <f t="shared" si="225"/>
        <v>131699</v>
      </c>
      <c r="I575" s="126">
        <f t="shared" si="225"/>
        <v>150470</v>
      </c>
      <c r="J575" s="82">
        <f t="shared" si="225"/>
        <v>169308</v>
      </c>
      <c r="K575" s="34"/>
    </row>
    <row r="576" spans="1:11" x14ac:dyDescent="0.2">
      <c r="A576" s="155" t="s">
        <v>674</v>
      </c>
      <c r="B576" s="126">
        <f>ROUND(B567*B572,0)</f>
        <v>0</v>
      </c>
      <c r="C576" s="126">
        <f t="shared" ref="C576:J576" si="226">ROUND(C567*C572,0)</f>
        <v>0</v>
      </c>
      <c r="D576" s="126">
        <f t="shared" si="226"/>
        <v>0</v>
      </c>
      <c r="E576" s="126">
        <f t="shared" si="226"/>
        <v>40278</v>
      </c>
      <c r="F576" s="126">
        <f t="shared" si="226"/>
        <v>100622</v>
      </c>
      <c r="G576" s="126">
        <f t="shared" si="226"/>
        <v>144942</v>
      </c>
      <c r="H576" s="126">
        <f t="shared" si="226"/>
        <v>170961</v>
      </c>
      <c r="I576" s="126">
        <f t="shared" si="226"/>
        <v>195290</v>
      </c>
      <c r="J576" s="82">
        <f t="shared" si="226"/>
        <v>219765</v>
      </c>
      <c r="K576" s="34"/>
    </row>
    <row r="577" spans="1:11" x14ac:dyDescent="0.2">
      <c r="A577" s="155"/>
      <c r="B577" s="126"/>
      <c r="C577" s="126"/>
      <c r="D577" s="126"/>
      <c r="E577" s="126"/>
      <c r="F577" s="126"/>
      <c r="G577" s="126"/>
      <c r="H577" s="126"/>
      <c r="I577" s="126"/>
      <c r="J577" s="82"/>
      <c r="K577" s="34"/>
    </row>
    <row r="578" spans="1:11" x14ac:dyDescent="0.2">
      <c r="A578" s="155"/>
      <c r="B578" s="126"/>
      <c r="C578" s="126"/>
      <c r="D578" s="126"/>
      <c r="E578" s="126"/>
      <c r="F578" s="126"/>
      <c r="G578" s="126"/>
      <c r="H578" s="126"/>
      <c r="I578" s="126"/>
      <c r="J578" s="82"/>
      <c r="K578" s="34"/>
    </row>
    <row r="579" spans="1:11" x14ac:dyDescent="0.2">
      <c r="A579" s="125" t="s">
        <v>248</v>
      </c>
      <c r="B579" s="126">
        <f>SUBTOTAL(9,B573:B578)</f>
        <v>87989</v>
      </c>
      <c r="C579" s="126">
        <f t="shared" ref="C579:J579" si="227">SUBTOTAL(9,C573:C578)</f>
        <v>175976</v>
      </c>
      <c r="D579" s="126">
        <f t="shared" si="227"/>
        <v>263680</v>
      </c>
      <c r="E579" s="126">
        <f t="shared" si="227"/>
        <v>376183</v>
      </c>
      <c r="F579" s="126">
        <f t="shared" si="227"/>
        <v>499560</v>
      </c>
      <c r="G579" s="126">
        <f t="shared" si="227"/>
        <v>613206</v>
      </c>
      <c r="H579" s="126">
        <f t="shared" si="227"/>
        <v>676718</v>
      </c>
      <c r="I579" s="126">
        <f t="shared" si="227"/>
        <v>773169</v>
      </c>
      <c r="J579" s="82">
        <f t="shared" si="227"/>
        <v>869990</v>
      </c>
      <c r="K579" s="34"/>
    </row>
    <row r="580" spans="1:11" x14ac:dyDescent="0.2">
      <c r="B580" s="34"/>
      <c r="C580" s="34"/>
      <c r="D580" s="34"/>
      <c r="E580" s="34"/>
      <c r="F580" s="34"/>
      <c r="G580" s="34"/>
      <c r="H580" s="34"/>
      <c r="I580" s="34"/>
      <c r="J580" s="34"/>
      <c r="K580" s="34"/>
    </row>
    <row r="581" spans="1:11" x14ac:dyDescent="0.2">
      <c r="A581" s="67" t="s">
        <v>408</v>
      </c>
      <c r="B581" s="67"/>
      <c r="C581" s="67"/>
      <c r="D581" s="67"/>
      <c r="E581" s="67"/>
      <c r="F581" s="67"/>
      <c r="G581" s="67"/>
      <c r="H581" s="67"/>
      <c r="I581" s="67"/>
      <c r="J581" s="67"/>
    </row>
    <row r="582" spans="1:11" x14ac:dyDescent="0.2">
      <c r="A582" s="125" t="s">
        <v>254</v>
      </c>
      <c r="B582" s="206">
        <v>7.5</v>
      </c>
      <c r="C582" s="206">
        <v>7.5</v>
      </c>
      <c r="D582" s="206">
        <v>7.5</v>
      </c>
      <c r="E582" s="206">
        <v>7.5</v>
      </c>
      <c r="F582" s="206">
        <v>7.5</v>
      </c>
      <c r="G582" s="206">
        <v>7.5</v>
      </c>
      <c r="H582" s="206">
        <v>7.5</v>
      </c>
      <c r="I582" s="206">
        <v>7.5</v>
      </c>
      <c r="J582" s="207">
        <v>7.5</v>
      </c>
    </row>
    <row r="583" spans="1:11" x14ac:dyDescent="0.2">
      <c r="A583" s="125" t="s">
        <v>255</v>
      </c>
      <c r="B583" s="206">
        <v>5</v>
      </c>
      <c r="C583" s="206">
        <v>5</v>
      </c>
      <c r="D583" s="206">
        <v>5</v>
      </c>
      <c r="E583" s="206">
        <v>5</v>
      </c>
      <c r="F583" s="206">
        <v>5</v>
      </c>
      <c r="G583" s="206">
        <v>5</v>
      </c>
      <c r="H583" s="206">
        <v>5</v>
      </c>
      <c r="I583" s="206">
        <v>5</v>
      </c>
      <c r="J583" s="207">
        <v>5</v>
      </c>
    </row>
    <row r="584" spans="1:11" x14ac:dyDescent="0.2">
      <c r="B584" s="50"/>
      <c r="C584" s="50"/>
      <c r="D584" s="50"/>
      <c r="E584" s="50"/>
      <c r="F584" s="50"/>
      <c r="G584" s="50"/>
      <c r="H584" s="50"/>
      <c r="I584" s="50"/>
      <c r="J584" s="50"/>
    </row>
    <row r="585" spans="1:11" ht="25.5" x14ac:dyDescent="0.2">
      <c r="A585" s="127" t="s">
        <v>407</v>
      </c>
      <c r="B585" s="214">
        <v>1.03</v>
      </c>
      <c r="C585" s="214">
        <v>1.03</v>
      </c>
      <c r="D585" s="214">
        <v>1.03</v>
      </c>
      <c r="E585" s="214">
        <v>1.03</v>
      </c>
      <c r="F585" s="214">
        <v>1.03</v>
      </c>
      <c r="G585" s="214">
        <v>1.03</v>
      </c>
      <c r="H585" s="214">
        <v>1.03</v>
      </c>
      <c r="I585" s="214">
        <v>1.03</v>
      </c>
      <c r="J585" s="215">
        <v>1.03</v>
      </c>
    </row>
    <row r="586" spans="1:11" x14ac:dyDescent="0.2">
      <c r="A586" s="125" t="s">
        <v>278</v>
      </c>
      <c r="B586" s="216">
        <f>ROUND(B582*B585,2)</f>
        <v>7.73</v>
      </c>
      <c r="C586" s="216">
        <f t="shared" ref="C586:J586" si="228">ROUND(C582*C585,2)</f>
        <v>7.73</v>
      </c>
      <c r="D586" s="216">
        <f t="shared" si="228"/>
        <v>7.73</v>
      </c>
      <c r="E586" s="216">
        <f t="shared" si="228"/>
        <v>7.73</v>
      </c>
      <c r="F586" s="216">
        <f t="shared" si="228"/>
        <v>7.73</v>
      </c>
      <c r="G586" s="216">
        <f t="shared" si="228"/>
        <v>7.73</v>
      </c>
      <c r="H586" s="216">
        <f t="shared" si="228"/>
        <v>7.73</v>
      </c>
      <c r="I586" s="216">
        <f t="shared" si="228"/>
        <v>7.73</v>
      </c>
      <c r="J586" s="217">
        <f t="shared" si="228"/>
        <v>7.73</v>
      </c>
    </row>
    <row r="587" spans="1:11" x14ac:dyDescent="0.2">
      <c r="A587" s="125" t="s">
        <v>279</v>
      </c>
      <c r="B587" s="216">
        <f>ROUND(B583*B585,2)</f>
        <v>5.15</v>
      </c>
      <c r="C587" s="216">
        <f t="shared" ref="C587:J587" si="229">ROUND(C583*C585,2)</f>
        <v>5.15</v>
      </c>
      <c r="D587" s="216">
        <f t="shared" si="229"/>
        <v>5.15</v>
      </c>
      <c r="E587" s="216">
        <f t="shared" si="229"/>
        <v>5.15</v>
      </c>
      <c r="F587" s="216">
        <f t="shared" si="229"/>
        <v>5.15</v>
      </c>
      <c r="G587" s="216">
        <f t="shared" si="229"/>
        <v>5.15</v>
      </c>
      <c r="H587" s="216">
        <f t="shared" si="229"/>
        <v>5.15</v>
      </c>
      <c r="I587" s="216">
        <f t="shared" si="229"/>
        <v>5.15</v>
      </c>
      <c r="J587" s="217">
        <f t="shared" si="229"/>
        <v>5.15</v>
      </c>
    </row>
    <row r="588" spans="1:11" x14ac:dyDescent="0.2">
      <c r="A588" s="67"/>
      <c r="B588" s="67"/>
      <c r="C588" s="67"/>
      <c r="D588" s="67"/>
      <c r="E588" s="67"/>
      <c r="F588" s="67"/>
      <c r="G588" s="67"/>
      <c r="H588" s="67"/>
      <c r="I588" s="67"/>
      <c r="J588" s="67"/>
    </row>
    <row r="589" spans="1:11" x14ac:dyDescent="0.2">
      <c r="A589" s="27" t="s">
        <v>253</v>
      </c>
    </row>
    <row r="590" spans="1:11" x14ac:dyDescent="0.2">
      <c r="A590" s="139" t="s">
        <v>256</v>
      </c>
      <c r="B590" s="135">
        <f>B19</f>
        <v>274</v>
      </c>
      <c r="C590" s="135">
        <f t="shared" ref="C590:J590" si="230">C19</f>
        <v>548</v>
      </c>
      <c r="D590" s="135">
        <f t="shared" si="230"/>
        <v>821</v>
      </c>
      <c r="E590" s="135">
        <f t="shared" si="230"/>
        <v>1095</v>
      </c>
      <c r="F590" s="135">
        <f t="shared" si="230"/>
        <v>1369</v>
      </c>
      <c r="G590" s="135">
        <f t="shared" si="230"/>
        <v>1643</v>
      </c>
      <c r="H590" s="135">
        <f t="shared" si="230"/>
        <v>1789</v>
      </c>
      <c r="I590" s="135">
        <f t="shared" si="230"/>
        <v>2044</v>
      </c>
      <c r="J590" s="136">
        <f t="shared" si="230"/>
        <v>2300</v>
      </c>
    </row>
    <row r="591" spans="1:11" x14ac:dyDescent="0.2">
      <c r="A591" s="139" t="s">
        <v>257</v>
      </c>
      <c r="B591" s="128">
        <f t="shared" ref="B591:J591" si="231">ROUND(B32,0)</f>
        <v>40</v>
      </c>
      <c r="C591" s="128">
        <f t="shared" si="231"/>
        <v>40</v>
      </c>
      <c r="D591" s="128">
        <f t="shared" si="231"/>
        <v>40</v>
      </c>
      <c r="E591" s="128">
        <f t="shared" si="231"/>
        <v>40</v>
      </c>
      <c r="F591" s="128">
        <f t="shared" si="231"/>
        <v>40</v>
      </c>
      <c r="G591" s="128">
        <f t="shared" si="231"/>
        <v>40</v>
      </c>
      <c r="H591" s="128">
        <f t="shared" si="231"/>
        <v>40</v>
      </c>
      <c r="I591" s="128">
        <f t="shared" si="231"/>
        <v>40</v>
      </c>
      <c r="J591" s="72">
        <f t="shared" si="231"/>
        <v>40</v>
      </c>
    </row>
    <row r="592" spans="1:11" x14ac:dyDescent="0.2">
      <c r="A592" s="139" t="s">
        <v>404</v>
      </c>
      <c r="B592" s="126">
        <f>ROUND(B586*17,0)</f>
        <v>131</v>
      </c>
      <c r="C592" s="126">
        <f t="shared" ref="C592:J592" si="232">ROUND(C586*17,0)</f>
        <v>131</v>
      </c>
      <c r="D592" s="126">
        <f t="shared" si="232"/>
        <v>131</v>
      </c>
      <c r="E592" s="126">
        <f t="shared" si="232"/>
        <v>131</v>
      </c>
      <c r="F592" s="126">
        <f t="shared" si="232"/>
        <v>131</v>
      </c>
      <c r="G592" s="126">
        <f t="shared" si="232"/>
        <v>131</v>
      </c>
      <c r="H592" s="126">
        <f t="shared" si="232"/>
        <v>131</v>
      </c>
      <c r="I592" s="126">
        <f t="shared" si="232"/>
        <v>131</v>
      </c>
      <c r="J592" s="82">
        <f t="shared" si="232"/>
        <v>131</v>
      </c>
    </row>
    <row r="593" spans="1:11" x14ac:dyDescent="0.2">
      <c r="A593" s="139" t="s">
        <v>258</v>
      </c>
      <c r="B593" s="126">
        <f>ROUND(B587*(B591-17),0)</f>
        <v>118</v>
      </c>
      <c r="C593" s="126">
        <f t="shared" ref="C593:J593" si="233">ROUND(C587*(C591-17),0)</f>
        <v>118</v>
      </c>
      <c r="D593" s="126">
        <f t="shared" si="233"/>
        <v>118</v>
      </c>
      <c r="E593" s="126">
        <f t="shared" si="233"/>
        <v>118</v>
      </c>
      <c r="F593" s="126">
        <f t="shared" si="233"/>
        <v>118</v>
      </c>
      <c r="G593" s="126">
        <f t="shared" si="233"/>
        <v>118</v>
      </c>
      <c r="H593" s="126">
        <f t="shared" si="233"/>
        <v>118</v>
      </c>
      <c r="I593" s="126">
        <f t="shared" si="233"/>
        <v>118</v>
      </c>
      <c r="J593" s="82">
        <f t="shared" si="233"/>
        <v>118</v>
      </c>
    </row>
    <row r="594" spans="1:11" x14ac:dyDescent="0.2">
      <c r="A594" s="125" t="s">
        <v>259</v>
      </c>
      <c r="B594" s="126">
        <f>ROUND(B590*B592*B572,0)</f>
        <v>25126</v>
      </c>
      <c r="C594" s="126">
        <f t="shared" ref="C594:J594" si="234">ROUND(C590*C592*C572,0)</f>
        <v>50252</v>
      </c>
      <c r="D594" s="126">
        <f t="shared" si="234"/>
        <v>75286</v>
      </c>
      <c r="E594" s="126">
        <f t="shared" si="234"/>
        <v>100412</v>
      </c>
      <c r="F594" s="126">
        <f t="shared" si="234"/>
        <v>125537</v>
      </c>
      <c r="G594" s="126">
        <f t="shared" si="234"/>
        <v>150663</v>
      </c>
      <c r="H594" s="126">
        <f t="shared" si="234"/>
        <v>164051</v>
      </c>
      <c r="I594" s="126">
        <f t="shared" si="234"/>
        <v>187435</v>
      </c>
      <c r="J594" s="126">
        <f t="shared" si="234"/>
        <v>210910</v>
      </c>
    </row>
    <row r="595" spans="1:11" x14ac:dyDescent="0.2">
      <c r="A595" s="125" t="s">
        <v>405</v>
      </c>
      <c r="B595" s="126">
        <f>ROUND(B590*B593*B572,0)</f>
        <v>22632</v>
      </c>
      <c r="C595" s="126">
        <f t="shared" ref="C595:J595" si="235">ROUND(C590*C593*C572,0)</f>
        <v>45265</v>
      </c>
      <c r="D595" s="126">
        <f t="shared" si="235"/>
        <v>67815</v>
      </c>
      <c r="E595" s="126">
        <f t="shared" si="235"/>
        <v>90447</v>
      </c>
      <c r="F595" s="126">
        <f t="shared" si="235"/>
        <v>113079</v>
      </c>
      <c r="G595" s="126">
        <f t="shared" si="235"/>
        <v>135712</v>
      </c>
      <c r="H595" s="126">
        <f t="shared" si="235"/>
        <v>147771</v>
      </c>
      <c r="I595" s="126">
        <f t="shared" si="235"/>
        <v>168834</v>
      </c>
      <c r="J595" s="126">
        <f t="shared" si="235"/>
        <v>189980</v>
      </c>
    </row>
    <row r="596" spans="1:11" s="38" customFormat="1" x14ac:dyDescent="0.2"/>
    <row r="597" spans="1:11" s="124" customFormat="1" x14ac:dyDescent="0.2">
      <c r="A597" s="502" t="s">
        <v>591</v>
      </c>
      <c r="B597" s="502"/>
      <c r="C597" s="502"/>
      <c r="D597" s="502"/>
      <c r="E597" s="502"/>
      <c r="F597" s="502"/>
      <c r="G597" s="502"/>
      <c r="H597" s="502"/>
      <c r="I597" s="502"/>
      <c r="J597" s="502"/>
    </row>
    <row r="598" spans="1:11" x14ac:dyDescent="0.2">
      <c r="A598" s="67" t="s">
        <v>268</v>
      </c>
      <c r="B598" s="67"/>
      <c r="C598" s="67"/>
      <c r="D598" s="67"/>
      <c r="E598" s="67"/>
      <c r="F598" s="67"/>
      <c r="G598" s="67"/>
      <c r="H598" s="67"/>
      <c r="I598" s="67"/>
      <c r="J598" s="67"/>
    </row>
    <row r="599" spans="1:11" x14ac:dyDescent="0.2">
      <c r="A599" s="139" t="s">
        <v>400</v>
      </c>
      <c r="B599" s="171">
        <v>0</v>
      </c>
      <c r="C599" s="171">
        <v>0</v>
      </c>
      <c r="D599" s="171">
        <v>0</v>
      </c>
      <c r="E599" s="171">
        <v>85000</v>
      </c>
      <c r="F599" s="171">
        <v>0</v>
      </c>
      <c r="G599" s="171">
        <v>0</v>
      </c>
      <c r="H599" s="171">
        <v>0</v>
      </c>
      <c r="I599" s="171">
        <v>0</v>
      </c>
      <c r="J599" s="172">
        <v>0</v>
      </c>
      <c r="K599" s="34"/>
    </row>
    <row r="600" spans="1:11" x14ac:dyDescent="0.2">
      <c r="A600" s="139" t="s">
        <v>401</v>
      </c>
      <c r="B600" s="171">
        <v>73482</v>
      </c>
      <c r="C600" s="171">
        <v>0</v>
      </c>
      <c r="D600" s="171">
        <v>83254</v>
      </c>
      <c r="E600" s="171">
        <v>0</v>
      </c>
      <c r="F600" s="171">
        <v>0</v>
      </c>
      <c r="G600" s="171">
        <v>0</v>
      </c>
      <c r="H600" s="171">
        <v>138000</v>
      </c>
      <c r="I600" s="171">
        <v>0</v>
      </c>
      <c r="J600" s="172">
        <v>0</v>
      </c>
      <c r="K600" s="34"/>
    </row>
    <row r="601" spans="1:11" s="124" customFormat="1" x14ac:dyDescent="0.2">
      <c r="A601" s="139" t="s">
        <v>505</v>
      </c>
      <c r="B601" s="171">
        <v>0</v>
      </c>
      <c r="C601" s="171">
        <v>0</v>
      </c>
      <c r="D601" s="171">
        <v>0</v>
      </c>
      <c r="E601" s="171">
        <v>0</v>
      </c>
      <c r="F601" s="171">
        <v>0</v>
      </c>
      <c r="G601" s="171">
        <v>0</v>
      </c>
      <c r="H601" s="171">
        <v>0</v>
      </c>
      <c r="I601" s="171">
        <v>0</v>
      </c>
      <c r="J601" s="172">
        <v>0</v>
      </c>
      <c r="K601" s="34"/>
    </row>
    <row r="602" spans="1:11" x14ac:dyDescent="0.2">
      <c r="A602" s="139" t="s">
        <v>506</v>
      </c>
      <c r="B602" s="171">
        <v>0</v>
      </c>
      <c r="C602" s="171">
        <v>0</v>
      </c>
      <c r="D602" s="171">
        <v>0</v>
      </c>
      <c r="E602" s="171">
        <v>0</v>
      </c>
      <c r="F602" s="171">
        <v>0</v>
      </c>
      <c r="G602" s="171">
        <v>0</v>
      </c>
      <c r="H602" s="171">
        <v>0</v>
      </c>
      <c r="I602" s="171">
        <v>130000</v>
      </c>
      <c r="J602" s="172">
        <v>143000</v>
      </c>
      <c r="K602" s="34"/>
    </row>
    <row r="603" spans="1:11" x14ac:dyDescent="0.2">
      <c r="A603" s="139" t="s">
        <v>269</v>
      </c>
      <c r="B603" s="171">
        <v>0</v>
      </c>
      <c r="C603" s="171">
        <v>55000</v>
      </c>
      <c r="D603" s="171">
        <v>0</v>
      </c>
      <c r="E603" s="171">
        <v>0</v>
      </c>
      <c r="F603" s="171">
        <v>0</v>
      </c>
      <c r="G603" s="171">
        <v>30000</v>
      </c>
      <c r="H603" s="171">
        <v>0</v>
      </c>
      <c r="I603" s="171">
        <v>0</v>
      </c>
      <c r="J603" s="172">
        <v>0</v>
      </c>
      <c r="K603" s="34"/>
    </row>
    <row r="604" spans="1:11" x14ac:dyDescent="0.2">
      <c r="A604" s="139" t="s">
        <v>270</v>
      </c>
      <c r="B604" s="171">
        <v>0</v>
      </c>
      <c r="C604" s="171">
        <v>0</v>
      </c>
      <c r="D604" s="171">
        <v>0</v>
      </c>
      <c r="E604" s="171">
        <v>0</v>
      </c>
      <c r="F604" s="171">
        <v>58500</v>
      </c>
      <c r="G604" s="171">
        <v>0</v>
      </c>
      <c r="H604" s="171">
        <v>0</v>
      </c>
      <c r="I604" s="171">
        <v>0</v>
      </c>
      <c r="J604" s="172">
        <v>0</v>
      </c>
      <c r="K604" s="34"/>
    </row>
    <row r="605" spans="1:11" x14ac:dyDescent="0.2">
      <c r="A605" s="139" t="s">
        <v>271</v>
      </c>
      <c r="B605" s="171">
        <v>0</v>
      </c>
      <c r="C605" s="171">
        <v>0</v>
      </c>
      <c r="D605" s="171">
        <v>0</v>
      </c>
      <c r="E605" s="171">
        <v>0</v>
      </c>
      <c r="F605" s="171">
        <v>0</v>
      </c>
      <c r="G605" s="171">
        <v>0</v>
      </c>
      <c r="H605" s="171">
        <v>0</v>
      </c>
      <c r="I605" s="171">
        <v>0</v>
      </c>
      <c r="J605" s="172">
        <v>0</v>
      </c>
      <c r="K605" s="34"/>
    </row>
    <row r="606" spans="1:11" x14ac:dyDescent="0.2">
      <c r="A606" s="139" t="s">
        <v>272</v>
      </c>
      <c r="B606" s="171">
        <v>6500</v>
      </c>
      <c r="C606" s="171">
        <v>9400</v>
      </c>
      <c r="D606" s="171">
        <v>10400</v>
      </c>
      <c r="E606" s="171">
        <v>0</v>
      </c>
      <c r="F606" s="171">
        <v>0</v>
      </c>
      <c r="G606" s="171">
        <v>0</v>
      </c>
      <c r="H606" s="171">
        <v>0</v>
      </c>
      <c r="I606" s="171">
        <v>0</v>
      </c>
      <c r="J606" s="172">
        <v>0</v>
      </c>
      <c r="K606" s="34"/>
    </row>
    <row r="607" spans="1:11" x14ac:dyDescent="0.2">
      <c r="A607" s="125" t="s">
        <v>273</v>
      </c>
      <c r="B607" s="171">
        <v>1756</v>
      </c>
      <c r="C607" s="171">
        <v>248</v>
      </c>
      <c r="D607" s="171">
        <v>3500</v>
      </c>
      <c r="E607" s="171">
        <v>0</v>
      </c>
      <c r="F607" s="171">
        <v>0</v>
      </c>
      <c r="G607" s="171">
        <v>5800</v>
      </c>
      <c r="H607" s="171">
        <v>0</v>
      </c>
      <c r="I607" s="171">
        <v>0</v>
      </c>
      <c r="J607" s="172">
        <v>0</v>
      </c>
      <c r="K607" s="34"/>
    </row>
    <row r="608" spans="1:11" s="124" customFormat="1" x14ac:dyDescent="0.2">
      <c r="A608" s="125" t="s">
        <v>507</v>
      </c>
      <c r="B608" s="171">
        <v>20000</v>
      </c>
      <c r="C608" s="171">
        <v>15340</v>
      </c>
      <c r="D608" s="171">
        <v>0</v>
      </c>
      <c r="E608" s="171">
        <v>35000</v>
      </c>
      <c r="F608" s="171">
        <v>0</v>
      </c>
      <c r="G608" s="171">
        <v>0</v>
      </c>
      <c r="H608" s="171">
        <v>48000</v>
      </c>
      <c r="I608" s="171">
        <v>0</v>
      </c>
      <c r="J608" s="172">
        <v>0</v>
      </c>
      <c r="K608" s="34"/>
    </row>
    <row r="609" spans="1:11" x14ac:dyDescent="0.2">
      <c r="A609" s="125" t="s">
        <v>274</v>
      </c>
      <c r="B609" s="171">
        <v>2865</v>
      </c>
      <c r="C609" s="171">
        <v>0</v>
      </c>
      <c r="D609" s="171">
        <v>0</v>
      </c>
      <c r="E609" s="171">
        <v>0</v>
      </c>
      <c r="F609" s="171">
        <v>8456</v>
      </c>
      <c r="G609" s="171">
        <v>0</v>
      </c>
      <c r="H609" s="171">
        <v>0</v>
      </c>
      <c r="I609" s="171">
        <v>0</v>
      </c>
      <c r="J609" s="172">
        <v>0</v>
      </c>
      <c r="K609" s="34"/>
    </row>
    <row r="610" spans="1:11" x14ac:dyDescent="0.2">
      <c r="A610" s="125" t="s">
        <v>519</v>
      </c>
      <c r="B610" s="171">
        <v>0</v>
      </c>
      <c r="C610" s="171">
        <v>23812</v>
      </c>
      <c r="D610" s="171">
        <v>0</v>
      </c>
      <c r="E610" s="171">
        <v>0</v>
      </c>
      <c r="F610" s="171">
        <v>0</v>
      </c>
      <c r="G610" s="171">
        <v>0</v>
      </c>
      <c r="H610" s="171">
        <v>0</v>
      </c>
      <c r="I610" s="171">
        <v>0</v>
      </c>
      <c r="J610" s="172">
        <v>0</v>
      </c>
    </row>
  </sheetData>
  <mergeCells count="26">
    <mergeCell ref="A597:J597"/>
    <mergeCell ref="A416:J416"/>
    <mergeCell ref="A445:J445"/>
    <mergeCell ref="A502:J502"/>
    <mergeCell ref="A526:J526"/>
    <mergeCell ref="A562:J562"/>
    <mergeCell ref="A472:J472"/>
    <mergeCell ref="A290:J290"/>
    <mergeCell ref="A357:J357"/>
    <mergeCell ref="A395:J395"/>
    <mergeCell ref="A232:J232"/>
    <mergeCell ref="A269:J269"/>
    <mergeCell ref="A324:J324"/>
    <mergeCell ref="A59:J59"/>
    <mergeCell ref="A30:J30"/>
    <mergeCell ref="A85:J85"/>
    <mergeCell ref="A166:J166"/>
    <mergeCell ref="A253:J253"/>
    <mergeCell ref="A98:J98"/>
    <mergeCell ref="A126:J126"/>
    <mergeCell ref="A142:J142"/>
    <mergeCell ref="A211:J211"/>
    <mergeCell ref="A187:J187"/>
    <mergeCell ref="A145:J145"/>
    <mergeCell ref="A189:J189"/>
    <mergeCell ref="A190:J190"/>
  </mergeCells>
  <printOptions horizontalCentered="1"/>
  <pageMargins left="0.5" right="0.5" top="0.5" bottom="0.5" header="0.3" footer="0.3"/>
  <pageSetup orientation="landscape" r:id="rId1"/>
  <rowBreaks count="23" manualBreakCount="23">
    <brk id="29" max="16383" man="1"/>
    <brk id="58" max="16383" man="1"/>
    <brk id="84" max="9" man="1"/>
    <brk id="97" max="16383" man="1"/>
    <brk id="125" max="16383" man="1"/>
    <brk id="141" max="16383" man="1"/>
    <brk id="165" max="16383" man="1"/>
    <brk id="186" max="16383" man="1"/>
    <brk id="210" max="16383" man="1"/>
    <brk id="231" max="16383" man="1"/>
    <brk id="252" max="16383" man="1"/>
    <brk id="268" max="16383" man="1"/>
    <brk id="289" max="16383" man="1"/>
    <brk id="323" max="16383" man="1"/>
    <brk id="356" max="16383" man="1"/>
    <brk id="394" max="16383" man="1"/>
    <brk id="415" max="16383" man="1"/>
    <brk id="444" max="16383" man="1"/>
    <brk id="471" max="16383" man="1"/>
    <brk id="501" max="16383" man="1"/>
    <brk id="525" max="9" man="1"/>
    <brk id="561" max="9" man="1"/>
    <brk id="596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8"/>
  <sheetViews>
    <sheetView view="pageBreakPreview" zoomScale="90" zoomScaleNormal="100" zoomScaleSheetLayoutView="90" workbookViewId="0">
      <pane xSplit="1" ySplit="2" topLeftCell="B327" activePane="bottomRight" state="frozen"/>
      <selection pane="topRight" activeCell="B1" sqref="B1"/>
      <selection pane="bottomLeft" activeCell="A3" sqref="A3"/>
      <selection pane="bottomRight" activeCell="E362" sqref="E362"/>
    </sheetView>
  </sheetViews>
  <sheetFormatPr defaultColWidth="8.85546875" defaultRowHeight="12.75" x14ac:dyDescent="0.2"/>
  <cols>
    <col min="1" max="1" width="35" style="472" customWidth="1"/>
    <col min="2" max="2" width="45.5703125" style="472" customWidth="1"/>
    <col min="3" max="16384" width="8.85546875" style="472"/>
  </cols>
  <sheetData>
    <row r="1" spans="1:2" x14ac:dyDescent="0.2">
      <c r="A1" s="123" t="s">
        <v>611</v>
      </c>
    </row>
    <row r="2" spans="1:2" x14ac:dyDescent="0.2">
      <c r="A2" s="123"/>
      <c r="B2" s="31" t="s">
        <v>626</v>
      </c>
    </row>
    <row r="3" spans="1:2" ht="13.5" x14ac:dyDescent="0.25">
      <c r="A3" s="468" t="s">
        <v>643</v>
      </c>
      <c r="B3" s="468"/>
    </row>
    <row r="4" spans="1:2" x14ac:dyDescent="0.2">
      <c r="A4" s="125" t="s">
        <v>11</v>
      </c>
      <c r="B4" s="163" t="s">
        <v>26</v>
      </c>
    </row>
    <row r="5" spans="1:2" x14ac:dyDescent="0.2">
      <c r="A5" s="125" t="s">
        <v>12</v>
      </c>
      <c r="B5" s="163" t="s">
        <v>30</v>
      </c>
    </row>
    <row r="6" spans="1:2" x14ac:dyDescent="0.2">
      <c r="A6" s="125" t="s">
        <v>13</v>
      </c>
      <c r="B6" s="165">
        <f>B7/365</f>
        <v>1.2</v>
      </c>
    </row>
    <row r="7" spans="1:2" x14ac:dyDescent="0.2">
      <c r="A7" s="125" t="s">
        <v>14</v>
      </c>
      <c r="B7" s="167">
        <v>438</v>
      </c>
    </row>
    <row r="8" spans="1:2" x14ac:dyDescent="0.2">
      <c r="A8" s="125"/>
      <c r="B8" s="135"/>
    </row>
    <row r="9" spans="1:2" x14ac:dyDescent="0.2">
      <c r="A9" s="125" t="s">
        <v>15</v>
      </c>
      <c r="B9" s="169">
        <v>0.75</v>
      </c>
    </row>
    <row r="10" spans="1:2" x14ac:dyDescent="0.2">
      <c r="A10" s="125"/>
      <c r="B10" s="137"/>
    </row>
    <row r="11" spans="1:2" x14ac:dyDescent="0.2">
      <c r="A11" s="127" t="s">
        <v>395</v>
      </c>
      <c r="B11" s="169">
        <v>0.75</v>
      </c>
    </row>
    <row r="12" spans="1:2" x14ac:dyDescent="0.2">
      <c r="A12" s="127" t="s">
        <v>249</v>
      </c>
      <c r="B12" s="169">
        <v>0.25</v>
      </c>
    </row>
    <row r="13" spans="1:2" ht="13.5" customHeight="1" x14ac:dyDescent="0.2">
      <c r="A13" s="127" t="s">
        <v>669</v>
      </c>
      <c r="B13" s="169">
        <v>0</v>
      </c>
    </row>
    <row r="14" spans="1:2" x14ac:dyDescent="0.2">
      <c r="A14" s="127" t="s">
        <v>670</v>
      </c>
      <c r="B14" s="169">
        <v>0</v>
      </c>
    </row>
    <row r="15" spans="1:2" ht="13.5" customHeight="1" x14ac:dyDescent="0.2">
      <c r="A15" s="127"/>
      <c r="B15" s="169"/>
    </row>
    <row r="16" spans="1:2" x14ac:dyDescent="0.2">
      <c r="A16" s="127"/>
      <c r="B16" s="169"/>
    </row>
    <row r="17" spans="1:2" x14ac:dyDescent="0.2">
      <c r="A17" s="125" t="s">
        <v>250</v>
      </c>
      <c r="B17" s="137">
        <f>SUBTOTAL(9,B11:B16)</f>
        <v>1</v>
      </c>
    </row>
    <row r="18" spans="1:2" ht="12.6" customHeight="1" x14ac:dyDescent="0.2">
      <c r="A18" s="125"/>
      <c r="B18" s="135"/>
    </row>
    <row r="19" spans="1:2" x14ac:dyDescent="0.2">
      <c r="A19" s="125" t="s">
        <v>16</v>
      </c>
      <c r="B19" s="135">
        <f>ROUND(B9*B7,0)</f>
        <v>329</v>
      </c>
    </row>
    <row r="20" spans="1:2" x14ac:dyDescent="0.2">
      <c r="A20" s="125"/>
      <c r="B20" s="135"/>
    </row>
    <row r="21" spans="1:2" x14ac:dyDescent="0.2">
      <c r="A21" s="127" t="s">
        <v>532</v>
      </c>
      <c r="B21" s="135">
        <f>ROUND(B11*B19,1)</f>
        <v>246.8</v>
      </c>
    </row>
    <row r="22" spans="1:2" x14ac:dyDescent="0.2">
      <c r="A22" s="127" t="s">
        <v>251</v>
      </c>
      <c r="B22" s="135">
        <f>ROUND(B12*B19,1)</f>
        <v>82.3</v>
      </c>
    </row>
    <row r="23" spans="1:2" x14ac:dyDescent="0.2">
      <c r="A23" s="127" t="s">
        <v>650</v>
      </c>
      <c r="B23" s="135">
        <f>ROUND(B13*B19,1)</f>
        <v>0</v>
      </c>
    </row>
    <row r="24" spans="1:2" x14ac:dyDescent="0.2">
      <c r="A24" s="127" t="s">
        <v>651</v>
      </c>
      <c r="B24" s="135">
        <f>ROUND(B14*B19,1)</f>
        <v>0</v>
      </c>
    </row>
    <row r="25" spans="1:2" x14ac:dyDescent="0.2">
      <c r="A25" s="127"/>
      <c r="B25" s="135"/>
    </row>
    <row r="26" spans="1:2" x14ac:dyDescent="0.2">
      <c r="A26" s="127"/>
      <c r="B26" s="135"/>
    </row>
    <row r="27" spans="1:2" x14ac:dyDescent="0.2">
      <c r="A27" s="186" t="s">
        <v>252</v>
      </c>
      <c r="B27" s="141">
        <f>ROUND(SUM(B21:B26),1)</f>
        <v>329.1</v>
      </c>
    </row>
    <row r="28" spans="1:2" x14ac:dyDescent="0.2">
      <c r="A28" s="38"/>
      <c r="B28" s="188"/>
    </row>
    <row r="29" spans="1:2" s="39" customFormat="1" x14ac:dyDescent="0.2">
      <c r="B29" s="187"/>
    </row>
    <row r="30" spans="1:2" x14ac:dyDescent="0.2">
      <c r="A30" s="502" t="s">
        <v>644</v>
      </c>
      <c r="B30" s="502"/>
    </row>
    <row r="31" spans="1:2" x14ac:dyDescent="0.2">
      <c r="A31" s="125" t="s">
        <v>17</v>
      </c>
      <c r="B31" s="167">
        <v>15314</v>
      </c>
    </row>
    <row r="32" spans="1:2" x14ac:dyDescent="0.2">
      <c r="A32" s="125" t="s">
        <v>382</v>
      </c>
      <c r="B32" s="128">
        <f>ROUND(B31/B7,0)</f>
        <v>35</v>
      </c>
    </row>
    <row r="33" spans="1:3" x14ac:dyDescent="0.2">
      <c r="A33" s="125" t="s">
        <v>123</v>
      </c>
      <c r="B33" s="169">
        <v>0.46</v>
      </c>
    </row>
    <row r="34" spans="1:3" x14ac:dyDescent="0.2">
      <c r="A34" s="125" t="s">
        <v>18</v>
      </c>
      <c r="B34" s="135">
        <f>ROUND(B31*B33,0)</f>
        <v>7044</v>
      </c>
    </row>
    <row r="35" spans="1:3" x14ac:dyDescent="0.2">
      <c r="A35" s="125"/>
      <c r="B35" s="135"/>
    </row>
    <row r="36" spans="1:3" x14ac:dyDescent="0.2">
      <c r="A36" s="125" t="s">
        <v>383</v>
      </c>
      <c r="B36" s="135"/>
    </row>
    <row r="37" spans="1:3" x14ac:dyDescent="0.2">
      <c r="A37" s="139" t="s">
        <v>78</v>
      </c>
      <c r="B37" s="169">
        <v>1</v>
      </c>
    </row>
    <row r="38" spans="1:3" x14ac:dyDescent="0.2">
      <c r="A38" s="139" t="s">
        <v>79</v>
      </c>
      <c r="B38" s="169">
        <v>0</v>
      </c>
    </row>
    <row r="39" spans="1:3" x14ac:dyDescent="0.2">
      <c r="A39" s="139" t="s">
        <v>80</v>
      </c>
      <c r="B39" s="169">
        <v>0</v>
      </c>
    </row>
    <row r="40" spans="1:3" x14ac:dyDescent="0.2">
      <c r="A40" s="125"/>
      <c r="B40" s="135"/>
      <c r="C40" s="29"/>
    </row>
    <row r="41" spans="1:3" x14ac:dyDescent="0.2">
      <c r="A41" s="125" t="s">
        <v>126</v>
      </c>
      <c r="B41" s="135"/>
    </row>
    <row r="42" spans="1:3" x14ac:dyDescent="0.2">
      <c r="A42" s="139" t="s">
        <v>75</v>
      </c>
      <c r="B42" s="135">
        <f>ROUND(B37*B31,1)</f>
        <v>15314</v>
      </c>
    </row>
    <row r="43" spans="1:3" x14ac:dyDescent="0.2">
      <c r="A43" s="139" t="s">
        <v>76</v>
      </c>
      <c r="B43" s="135">
        <f>ROUND(B38*B31,1)</f>
        <v>0</v>
      </c>
    </row>
    <row r="44" spans="1:3" x14ac:dyDescent="0.2">
      <c r="A44" s="139" t="s">
        <v>77</v>
      </c>
      <c r="B44" s="135">
        <f>ROUND(B39*B31,1)</f>
        <v>0</v>
      </c>
    </row>
    <row r="45" spans="1:3" x14ac:dyDescent="0.2">
      <c r="A45" s="125" t="s">
        <v>73</v>
      </c>
      <c r="B45" s="135">
        <f>ROUND(B44*B538,1)</f>
        <v>0</v>
      </c>
    </row>
    <row r="46" spans="1:3" x14ac:dyDescent="0.2">
      <c r="A46" s="125" t="s">
        <v>29</v>
      </c>
      <c r="B46" s="135">
        <f>ROUND(B45*B539,1)</f>
        <v>0</v>
      </c>
      <c r="C46" s="29"/>
    </row>
    <row r="47" spans="1:3" x14ac:dyDescent="0.2">
      <c r="A47" s="125"/>
      <c r="B47" s="135"/>
      <c r="C47" s="29"/>
    </row>
    <row r="48" spans="1:3" x14ac:dyDescent="0.2">
      <c r="A48" s="125"/>
      <c r="B48" s="135"/>
      <c r="C48" s="29"/>
    </row>
    <row r="49" spans="1:3" x14ac:dyDescent="0.2">
      <c r="A49" s="125"/>
      <c r="B49" s="135"/>
      <c r="C49" s="29"/>
    </row>
    <row r="50" spans="1:3" x14ac:dyDescent="0.2">
      <c r="A50" s="125"/>
      <c r="B50" s="135"/>
      <c r="C50" s="29"/>
    </row>
    <row r="51" spans="1:3" x14ac:dyDescent="0.2">
      <c r="A51" s="125"/>
      <c r="B51" s="135"/>
      <c r="C51" s="29"/>
    </row>
    <row r="52" spans="1:3" x14ac:dyDescent="0.2">
      <c r="A52" s="125"/>
      <c r="B52" s="135"/>
      <c r="C52" s="29"/>
    </row>
    <row r="53" spans="1:3" x14ac:dyDescent="0.2">
      <c r="A53" s="125"/>
      <c r="B53" s="135"/>
      <c r="C53" s="29"/>
    </row>
    <row r="54" spans="1:3" x14ac:dyDescent="0.2">
      <c r="A54" s="125"/>
      <c r="B54" s="135"/>
      <c r="C54" s="29"/>
    </row>
    <row r="55" spans="1:3" x14ac:dyDescent="0.2">
      <c r="A55" s="125"/>
      <c r="B55" s="135"/>
      <c r="C55" s="29"/>
    </row>
    <row r="56" spans="1:3" x14ac:dyDescent="0.2">
      <c r="A56" s="125"/>
      <c r="B56" s="135"/>
    </row>
    <row r="57" spans="1:3" x14ac:dyDescent="0.2">
      <c r="A57" s="125"/>
      <c r="B57" s="128"/>
    </row>
    <row r="58" spans="1:3" x14ac:dyDescent="0.2">
      <c r="A58" s="39"/>
      <c r="B58" s="39"/>
    </row>
    <row r="59" spans="1:3" x14ac:dyDescent="0.2">
      <c r="A59" s="502" t="s">
        <v>566</v>
      </c>
      <c r="B59" s="502"/>
    </row>
    <row r="60" spans="1:3" x14ac:dyDescent="0.2">
      <c r="A60" s="127" t="s">
        <v>48</v>
      </c>
      <c r="B60" s="171">
        <v>0</v>
      </c>
    </row>
    <row r="61" spans="1:3" x14ac:dyDescent="0.2">
      <c r="A61" s="125" t="s">
        <v>49</v>
      </c>
      <c r="B61" s="171">
        <v>0</v>
      </c>
    </row>
    <row r="62" spans="1:3" x14ac:dyDescent="0.2">
      <c r="A62" s="127" t="s">
        <v>50</v>
      </c>
      <c r="B62" s="171">
        <v>0</v>
      </c>
    </row>
    <row r="63" spans="1:3" x14ac:dyDescent="0.2">
      <c r="A63" s="127" t="s">
        <v>51</v>
      </c>
      <c r="B63" s="171">
        <v>0</v>
      </c>
    </row>
    <row r="64" spans="1:3" x14ac:dyDescent="0.2">
      <c r="A64" s="125" t="s">
        <v>31</v>
      </c>
      <c r="B64" s="171">
        <v>0</v>
      </c>
    </row>
    <row r="65" spans="1:2" x14ac:dyDescent="0.2">
      <c r="A65" s="125" t="s">
        <v>32</v>
      </c>
      <c r="B65" s="173">
        <v>0</v>
      </c>
    </row>
    <row r="66" spans="1:2" x14ac:dyDescent="0.2">
      <c r="A66" s="125" t="s">
        <v>39</v>
      </c>
      <c r="B66" s="171">
        <v>0</v>
      </c>
    </row>
    <row r="67" spans="1:2" x14ac:dyDescent="0.2">
      <c r="A67" s="125" t="s">
        <v>34</v>
      </c>
      <c r="B67" s="173">
        <v>0</v>
      </c>
    </row>
    <row r="68" spans="1:2" x14ac:dyDescent="0.2">
      <c r="A68" s="125" t="s">
        <v>40</v>
      </c>
      <c r="B68" s="171">
        <v>0</v>
      </c>
    </row>
    <row r="69" spans="1:2" x14ac:dyDescent="0.2">
      <c r="A69" s="125" t="s">
        <v>36</v>
      </c>
      <c r="B69" s="173">
        <v>0</v>
      </c>
    </row>
    <row r="70" spans="1:2" x14ac:dyDescent="0.2">
      <c r="A70" s="125" t="s">
        <v>41</v>
      </c>
      <c r="B70" s="171">
        <v>0</v>
      </c>
    </row>
    <row r="71" spans="1:2" x14ac:dyDescent="0.2">
      <c r="A71" s="125" t="s">
        <v>38</v>
      </c>
      <c r="B71" s="173">
        <v>0</v>
      </c>
    </row>
    <row r="72" spans="1:2" x14ac:dyDescent="0.2">
      <c r="A72" s="125" t="s">
        <v>47</v>
      </c>
      <c r="B72" s="171">
        <v>0</v>
      </c>
    </row>
    <row r="73" spans="1:2" x14ac:dyDescent="0.2">
      <c r="A73" s="125" t="s">
        <v>43</v>
      </c>
      <c r="B73" s="173">
        <v>0</v>
      </c>
    </row>
    <row r="74" spans="1:2" x14ac:dyDescent="0.2">
      <c r="A74" s="125" t="s">
        <v>653</v>
      </c>
      <c r="B74" s="171">
        <v>0</v>
      </c>
    </row>
    <row r="75" spans="1:2" x14ac:dyDescent="0.2">
      <c r="A75" s="125" t="s">
        <v>652</v>
      </c>
      <c r="B75" s="173">
        <v>0</v>
      </c>
    </row>
    <row r="76" spans="1:2" x14ac:dyDescent="0.2">
      <c r="A76" s="125"/>
      <c r="B76" s="171"/>
    </row>
    <row r="77" spans="1:2" x14ac:dyDescent="0.2">
      <c r="A77" s="125"/>
      <c r="B77" s="173"/>
    </row>
    <row r="78" spans="1:2" x14ac:dyDescent="0.2">
      <c r="A78" s="125" t="s">
        <v>44</v>
      </c>
      <c r="B78" s="171">
        <v>0</v>
      </c>
    </row>
    <row r="79" spans="1:2" x14ac:dyDescent="0.2">
      <c r="A79" s="125" t="s">
        <v>45</v>
      </c>
      <c r="B79" s="171">
        <v>0</v>
      </c>
    </row>
    <row r="80" spans="1:2" x14ac:dyDescent="0.2">
      <c r="A80" s="125" t="s">
        <v>222</v>
      </c>
      <c r="B80" s="173">
        <v>0</v>
      </c>
    </row>
    <row r="81" spans="1:2" x14ac:dyDescent="0.2">
      <c r="A81" s="125" t="s">
        <v>46</v>
      </c>
      <c r="B81" s="171">
        <v>0</v>
      </c>
    </row>
    <row r="82" spans="1:2" x14ac:dyDescent="0.2">
      <c r="A82" s="127" t="s">
        <v>433</v>
      </c>
      <c r="B82" s="173">
        <v>0</v>
      </c>
    </row>
    <row r="83" spans="1:2" x14ac:dyDescent="0.2">
      <c r="A83" s="125"/>
      <c r="B83" s="128"/>
    </row>
    <row r="84" spans="1:2" x14ac:dyDescent="0.2">
      <c r="A84" s="32"/>
      <c r="B84" s="32"/>
    </row>
    <row r="85" spans="1:2" x14ac:dyDescent="0.2">
      <c r="A85" s="502" t="s">
        <v>567</v>
      </c>
      <c r="B85" s="502"/>
    </row>
    <row r="86" spans="1:2" x14ac:dyDescent="0.2">
      <c r="A86" s="489"/>
      <c r="B86" s="173"/>
    </row>
    <row r="87" spans="1:2" x14ac:dyDescent="0.2">
      <c r="A87" s="489"/>
      <c r="B87" s="173"/>
    </row>
    <row r="88" spans="1:2" x14ac:dyDescent="0.2">
      <c r="A88" s="489"/>
      <c r="B88" s="173"/>
    </row>
    <row r="89" spans="1:2" x14ac:dyDescent="0.2">
      <c r="A89" s="489"/>
      <c r="B89" s="173"/>
    </row>
    <row r="90" spans="1:2" x14ac:dyDescent="0.2">
      <c r="A90" s="489"/>
      <c r="B90" s="173"/>
    </row>
    <row r="91" spans="1:2" x14ac:dyDescent="0.2">
      <c r="A91" s="489"/>
      <c r="B91" s="173"/>
    </row>
    <row r="92" spans="1:2" x14ac:dyDescent="0.2">
      <c r="A92" s="489"/>
      <c r="B92" s="173"/>
    </row>
    <row r="93" spans="1:2" x14ac:dyDescent="0.2">
      <c r="A93" s="489"/>
      <c r="B93" s="173"/>
    </row>
    <row r="94" spans="1:2" x14ac:dyDescent="0.2">
      <c r="A94" s="125"/>
      <c r="B94" s="128"/>
    </row>
    <row r="95" spans="1:2" x14ac:dyDescent="0.2">
      <c r="A95" s="125"/>
      <c r="B95" s="128"/>
    </row>
    <row r="96" spans="1:2" x14ac:dyDescent="0.2">
      <c r="A96" s="125"/>
      <c r="B96" s="128"/>
    </row>
    <row r="97" spans="1:2" x14ac:dyDescent="0.2">
      <c r="A97" s="39"/>
      <c r="B97" s="39"/>
    </row>
    <row r="98" spans="1:2" x14ac:dyDescent="0.2">
      <c r="A98" s="502" t="s">
        <v>568</v>
      </c>
      <c r="B98" s="502"/>
    </row>
    <row r="99" spans="1:2" x14ac:dyDescent="0.2">
      <c r="A99" s="125" t="s">
        <v>52</v>
      </c>
      <c r="B99" s="126"/>
    </row>
    <row r="100" spans="1:2" x14ac:dyDescent="0.2">
      <c r="A100" s="139" t="s">
        <v>58</v>
      </c>
      <c r="B100" s="171">
        <v>0</v>
      </c>
    </row>
    <row r="101" spans="1:2" ht="25.5" x14ac:dyDescent="0.2">
      <c r="A101" s="227" t="s">
        <v>525</v>
      </c>
      <c r="B101" s="223">
        <f>B100*12</f>
        <v>0</v>
      </c>
    </row>
    <row r="102" spans="1:2" x14ac:dyDescent="0.2">
      <c r="A102" s="175" t="s">
        <v>55</v>
      </c>
      <c r="B102" s="128"/>
    </row>
    <row r="103" spans="1:2" x14ac:dyDescent="0.2">
      <c r="A103" s="139" t="s">
        <v>54</v>
      </c>
      <c r="B103" s="173" t="s">
        <v>56</v>
      </c>
    </row>
    <row r="104" spans="1:2" x14ac:dyDescent="0.2">
      <c r="A104" s="155" t="s">
        <v>59</v>
      </c>
      <c r="B104" s="176">
        <v>9.3678999999999998E-2</v>
      </c>
    </row>
    <row r="105" spans="1:2" ht="25.5" x14ac:dyDescent="0.2">
      <c r="A105" s="227" t="s">
        <v>526</v>
      </c>
      <c r="B105" s="223">
        <f>ROUND(B104*B60,0)</f>
        <v>0</v>
      </c>
    </row>
    <row r="106" spans="1:2" s="65" customFormat="1" x14ac:dyDescent="0.2">
      <c r="A106" s="228" t="s">
        <v>530</v>
      </c>
      <c r="B106" s="179">
        <f>B105</f>
        <v>0</v>
      </c>
    </row>
    <row r="107" spans="1:2" s="65" customFormat="1" x14ac:dyDescent="0.2">
      <c r="A107" s="181" t="s">
        <v>53</v>
      </c>
      <c r="B107" s="146"/>
    </row>
    <row r="108" spans="1:2" s="65" customFormat="1" x14ac:dyDescent="0.2">
      <c r="A108" s="182" t="s">
        <v>57</v>
      </c>
      <c r="B108" s="171">
        <v>0</v>
      </c>
    </row>
    <row r="109" spans="1:2" s="65" customFormat="1" ht="25.5" x14ac:dyDescent="0.2">
      <c r="A109" s="227" t="s">
        <v>527</v>
      </c>
      <c r="B109" s="223">
        <f>B108*12</f>
        <v>0</v>
      </c>
    </row>
    <row r="110" spans="1:2" s="65" customFormat="1" x14ac:dyDescent="0.2">
      <c r="A110" s="175" t="s">
        <v>55</v>
      </c>
      <c r="B110" s="128"/>
    </row>
    <row r="111" spans="1:2" s="65" customFormat="1" x14ac:dyDescent="0.2">
      <c r="A111" s="182" t="s">
        <v>54</v>
      </c>
      <c r="B111" s="173" t="s">
        <v>56</v>
      </c>
    </row>
    <row r="112" spans="1:2" s="65" customFormat="1" x14ac:dyDescent="0.2">
      <c r="A112" s="178" t="s">
        <v>59</v>
      </c>
      <c r="B112" s="176">
        <v>9.3678999999999998E-2</v>
      </c>
    </row>
    <row r="113" spans="1:2" s="65" customFormat="1" ht="25.5" x14ac:dyDescent="0.2">
      <c r="A113" s="227" t="s">
        <v>528</v>
      </c>
      <c r="B113" s="223">
        <f>ROUND(B112*B61,0)</f>
        <v>0</v>
      </c>
    </row>
    <row r="114" spans="1:2" s="65" customFormat="1" x14ac:dyDescent="0.2">
      <c r="A114" s="228" t="s">
        <v>529</v>
      </c>
      <c r="B114" s="179">
        <f>B113</f>
        <v>0</v>
      </c>
    </row>
    <row r="115" spans="1:2" s="65" customFormat="1" x14ac:dyDescent="0.2">
      <c r="A115" s="181" t="s">
        <v>60</v>
      </c>
      <c r="B115" s="173">
        <v>5</v>
      </c>
    </row>
    <row r="116" spans="1:2" s="65" customFormat="1" x14ac:dyDescent="0.2">
      <c r="A116" s="183" t="s">
        <v>61</v>
      </c>
      <c r="B116" s="173"/>
    </row>
    <row r="117" spans="1:2" s="65" customFormat="1" x14ac:dyDescent="0.2">
      <c r="A117" s="183" t="s">
        <v>87</v>
      </c>
      <c r="B117" s="173">
        <v>3</v>
      </c>
    </row>
    <row r="118" spans="1:2" s="65" customFormat="1" x14ac:dyDescent="0.2">
      <c r="A118" s="183" t="s">
        <v>74</v>
      </c>
      <c r="B118" s="167">
        <v>100000</v>
      </c>
    </row>
    <row r="119" spans="1:2" s="65" customFormat="1" x14ac:dyDescent="0.2">
      <c r="A119" s="181" t="s">
        <v>62</v>
      </c>
      <c r="B119" s="184" t="str">
        <f>IFERROR(ROUND((B118/B42)/B67,1),"0")</f>
        <v>0</v>
      </c>
    </row>
    <row r="120" spans="1:2" s="65" customFormat="1" x14ac:dyDescent="0.2">
      <c r="A120" s="181" t="s">
        <v>64</v>
      </c>
      <c r="B120" s="184" t="str">
        <f>IFERROR(ROUND((B118/B43)/B69,1),"0")</f>
        <v>0</v>
      </c>
    </row>
    <row r="121" spans="1:2" s="65" customFormat="1" x14ac:dyDescent="0.2">
      <c r="A121" s="181" t="s">
        <v>63</v>
      </c>
      <c r="B121" s="184" t="str">
        <f>IFERROR(ROUND(((B118/B44)/B71),1),"0")</f>
        <v>0</v>
      </c>
    </row>
    <row r="122" spans="1:2" x14ac:dyDescent="0.2">
      <c r="A122" s="125" t="s">
        <v>65</v>
      </c>
      <c r="B122" s="184" t="str">
        <f>IFERROR(ROUND((B118/B42)/B67,1),"0")</f>
        <v>0</v>
      </c>
    </row>
    <row r="123" spans="1:2" x14ac:dyDescent="0.2">
      <c r="A123" s="125" t="s">
        <v>66</v>
      </c>
      <c r="B123" s="184" t="str">
        <f>IFERROR(ROUND((B118/B43)/B69,1),"0")</f>
        <v>0</v>
      </c>
    </row>
    <row r="124" spans="1:2" x14ac:dyDescent="0.2">
      <c r="A124" s="125"/>
      <c r="B124" s="184"/>
    </row>
    <row r="126" spans="1:2" x14ac:dyDescent="0.2">
      <c r="A126" s="502" t="s">
        <v>569</v>
      </c>
      <c r="B126" s="502"/>
    </row>
    <row r="127" spans="1:2" x14ac:dyDescent="0.2">
      <c r="A127" s="125" t="s">
        <v>67</v>
      </c>
      <c r="B127" s="173"/>
    </row>
    <row r="128" spans="1:2" x14ac:dyDescent="0.2">
      <c r="A128" s="125" t="s">
        <v>68</v>
      </c>
      <c r="B128" s="173">
        <v>3</v>
      </c>
    </row>
    <row r="129" spans="1:2" x14ac:dyDescent="0.2">
      <c r="A129" s="125" t="s">
        <v>69</v>
      </c>
      <c r="B129" s="173">
        <v>5</v>
      </c>
    </row>
    <row r="130" spans="1:2" x14ac:dyDescent="0.2">
      <c r="A130" s="489"/>
      <c r="B130" s="173"/>
    </row>
    <row r="131" spans="1:2" x14ac:dyDescent="0.2">
      <c r="A131" s="489"/>
      <c r="B131" s="173"/>
    </row>
    <row r="132" spans="1:2" x14ac:dyDescent="0.2">
      <c r="A132" s="489"/>
      <c r="B132" s="173"/>
    </row>
    <row r="133" spans="1:2" x14ac:dyDescent="0.2">
      <c r="A133" s="489"/>
      <c r="B133" s="173"/>
    </row>
    <row r="134" spans="1:2" x14ac:dyDescent="0.2">
      <c r="A134" s="489"/>
      <c r="B134" s="173"/>
    </row>
    <row r="135" spans="1:2" x14ac:dyDescent="0.2">
      <c r="A135" s="489"/>
      <c r="B135" s="173"/>
    </row>
    <row r="136" spans="1:2" x14ac:dyDescent="0.2">
      <c r="A136" s="489"/>
      <c r="B136" s="173"/>
    </row>
    <row r="137" spans="1:2" x14ac:dyDescent="0.2">
      <c r="A137" s="489"/>
      <c r="B137" s="173"/>
    </row>
    <row r="138" spans="1:2" x14ac:dyDescent="0.2">
      <c r="A138" s="181"/>
      <c r="B138" s="128"/>
    </row>
    <row r="139" spans="1:2" x14ac:dyDescent="0.2">
      <c r="A139" s="125"/>
      <c r="B139" s="128"/>
    </row>
    <row r="140" spans="1:2" x14ac:dyDescent="0.2">
      <c r="A140" s="125"/>
      <c r="B140" s="128"/>
    </row>
    <row r="141" spans="1:2" x14ac:dyDescent="0.2">
      <c r="A141" s="39"/>
      <c r="B141" s="39"/>
    </row>
    <row r="142" spans="1:2" x14ac:dyDescent="0.2">
      <c r="A142" s="502" t="s">
        <v>570</v>
      </c>
      <c r="B142" s="502"/>
    </row>
    <row r="143" spans="1:2" x14ac:dyDescent="0.2">
      <c r="A143" s="123" t="s">
        <v>94</v>
      </c>
    </row>
    <row r="144" spans="1:2" x14ac:dyDescent="0.2">
      <c r="A144" s="66" t="s">
        <v>122</v>
      </c>
      <c r="B144" s="67"/>
    </row>
    <row r="145" spans="1:2" ht="13.5" x14ac:dyDescent="0.25">
      <c r="A145" s="503" t="s">
        <v>95</v>
      </c>
      <c r="B145" s="503"/>
    </row>
    <row r="146" spans="1:2" x14ac:dyDescent="0.2">
      <c r="A146" s="140" t="s">
        <v>96</v>
      </c>
      <c r="B146" s="483" t="s">
        <v>571</v>
      </c>
    </row>
    <row r="147" spans="1:2" x14ac:dyDescent="0.2">
      <c r="A147" s="67" t="s">
        <v>101</v>
      </c>
      <c r="B147" s="67"/>
    </row>
    <row r="148" spans="1:2" x14ac:dyDescent="0.2">
      <c r="A148" s="194" t="s">
        <v>98</v>
      </c>
      <c r="B148" s="195">
        <v>0</v>
      </c>
    </row>
    <row r="149" spans="1:2" x14ac:dyDescent="0.2">
      <c r="A149" s="139" t="s">
        <v>99</v>
      </c>
      <c r="B149" s="167">
        <v>0</v>
      </c>
    </row>
    <row r="150" spans="1:2" x14ac:dyDescent="0.2">
      <c r="A150" s="139" t="s">
        <v>104</v>
      </c>
      <c r="B150" s="126">
        <f>ROUND(B148*B149,0)</f>
        <v>0</v>
      </c>
    </row>
    <row r="151" spans="1:2" x14ac:dyDescent="0.2">
      <c r="A151" s="139" t="s">
        <v>229</v>
      </c>
      <c r="B151" s="171">
        <v>0</v>
      </c>
    </row>
    <row r="152" spans="1:2" x14ac:dyDescent="0.2">
      <c r="A152" s="139" t="s">
        <v>100</v>
      </c>
      <c r="B152" s="191">
        <v>0</v>
      </c>
    </row>
    <row r="153" spans="1:2" x14ac:dyDescent="0.2">
      <c r="A153" s="139" t="s">
        <v>227</v>
      </c>
      <c r="B153" s="126">
        <f>ROUND(B151*B152,0)</f>
        <v>0</v>
      </c>
    </row>
    <row r="154" spans="1:2" x14ac:dyDescent="0.2">
      <c r="A154" s="139" t="s">
        <v>228</v>
      </c>
      <c r="B154" s="135">
        <v>403</v>
      </c>
    </row>
    <row r="155" spans="1:2" x14ac:dyDescent="0.2">
      <c r="A155" s="193" t="s">
        <v>103</v>
      </c>
      <c r="B155" s="157">
        <f>ROUND(B154*B153,0)</f>
        <v>0</v>
      </c>
    </row>
    <row r="156" spans="1:2" x14ac:dyDescent="0.2">
      <c r="A156" s="67" t="s">
        <v>102</v>
      </c>
      <c r="B156" s="67"/>
    </row>
    <row r="157" spans="1:2" x14ac:dyDescent="0.2">
      <c r="A157" s="194" t="s">
        <v>105</v>
      </c>
      <c r="B157" s="195">
        <v>7.25</v>
      </c>
    </row>
    <row r="158" spans="1:2" x14ac:dyDescent="0.2">
      <c r="A158" s="139" t="s">
        <v>106</v>
      </c>
      <c r="B158" s="167">
        <v>7300</v>
      </c>
    </row>
    <row r="159" spans="1:2" x14ac:dyDescent="0.2">
      <c r="A159" s="139" t="s">
        <v>109</v>
      </c>
      <c r="B159" s="126">
        <f>ROUND(B157*B158,0)</f>
        <v>52925</v>
      </c>
    </row>
    <row r="160" spans="1:2" x14ac:dyDescent="0.2">
      <c r="A160" s="67" t="s">
        <v>131</v>
      </c>
      <c r="B160" s="67"/>
    </row>
    <row r="161" spans="1:2" x14ac:dyDescent="0.2">
      <c r="A161" s="139" t="s">
        <v>612</v>
      </c>
      <c r="B161" s="167">
        <v>146</v>
      </c>
    </row>
    <row r="162" spans="1:2" x14ac:dyDescent="0.2">
      <c r="A162" s="139" t="s">
        <v>613</v>
      </c>
      <c r="B162" s="126">
        <f>ROUND((B157*1.5)*B161,0)</f>
        <v>1588</v>
      </c>
    </row>
    <row r="163" spans="1:2" x14ac:dyDescent="0.2">
      <c r="A163" s="139" t="s">
        <v>111</v>
      </c>
      <c r="B163" s="167">
        <v>85</v>
      </c>
    </row>
    <row r="164" spans="1:2" x14ac:dyDescent="0.2">
      <c r="A164" s="139" t="s">
        <v>112</v>
      </c>
      <c r="B164" s="126">
        <f>ROUND(B157*1.5*B163,0)</f>
        <v>924</v>
      </c>
    </row>
    <row r="165" spans="1:2" x14ac:dyDescent="0.2">
      <c r="A165" s="36"/>
      <c r="B165" s="34"/>
    </row>
    <row r="166" spans="1:2" x14ac:dyDescent="0.2">
      <c r="A166" s="502" t="s">
        <v>575</v>
      </c>
      <c r="B166" s="502"/>
    </row>
    <row r="167" spans="1:2" x14ac:dyDescent="0.2">
      <c r="A167" s="125" t="s">
        <v>110</v>
      </c>
      <c r="B167" s="484" t="s">
        <v>574</v>
      </c>
    </row>
    <row r="168" spans="1:2" x14ac:dyDescent="0.2">
      <c r="A168" s="67" t="s">
        <v>101</v>
      </c>
      <c r="B168" s="67"/>
    </row>
    <row r="169" spans="1:2" x14ac:dyDescent="0.2">
      <c r="A169" s="139" t="s">
        <v>98</v>
      </c>
      <c r="B169" s="189">
        <v>0</v>
      </c>
    </row>
    <row r="170" spans="1:2" x14ac:dyDescent="0.2">
      <c r="A170" s="139" t="s">
        <v>99</v>
      </c>
      <c r="B170" s="167">
        <v>0</v>
      </c>
    </row>
    <row r="171" spans="1:2" x14ac:dyDescent="0.2">
      <c r="A171" s="139" t="s">
        <v>104</v>
      </c>
      <c r="B171" s="126">
        <f>ROUND(B169*B170,0)</f>
        <v>0</v>
      </c>
    </row>
    <row r="172" spans="1:2" x14ac:dyDescent="0.2">
      <c r="A172" s="139" t="s">
        <v>229</v>
      </c>
      <c r="B172" s="171">
        <v>0</v>
      </c>
    </row>
    <row r="173" spans="1:2" x14ac:dyDescent="0.2">
      <c r="A173" s="139" t="s">
        <v>100</v>
      </c>
      <c r="B173" s="191">
        <v>0</v>
      </c>
    </row>
    <row r="174" spans="1:2" x14ac:dyDescent="0.2">
      <c r="A174" s="139" t="s">
        <v>227</v>
      </c>
      <c r="B174" s="126">
        <f>ROUND(B172*B173,0)</f>
        <v>0</v>
      </c>
    </row>
    <row r="175" spans="1:2" x14ac:dyDescent="0.2">
      <c r="A175" s="139" t="s">
        <v>228</v>
      </c>
      <c r="B175" s="135">
        <f>ROUND(B7,0)</f>
        <v>438</v>
      </c>
    </row>
    <row r="176" spans="1:2" x14ac:dyDescent="0.2">
      <c r="A176" s="139" t="s">
        <v>103</v>
      </c>
      <c r="B176" s="126">
        <f>ROUND(B174*B175,0)</f>
        <v>0</v>
      </c>
    </row>
    <row r="177" spans="1:2" x14ac:dyDescent="0.2">
      <c r="A177" s="67" t="s">
        <v>102</v>
      </c>
      <c r="B177" s="67"/>
    </row>
    <row r="178" spans="1:2" x14ac:dyDescent="0.2">
      <c r="A178" s="139" t="s">
        <v>105</v>
      </c>
      <c r="B178" s="189">
        <v>7.25</v>
      </c>
    </row>
    <row r="179" spans="1:2" x14ac:dyDescent="0.2">
      <c r="A179" s="139" t="s">
        <v>106</v>
      </c>
      <c r="B179" s="167">
        <v>7300</v>
      </c>
    </row>
    <row r="180" spans="1:2" x14ac:dyDescent="0.2">
      <c r="A180" s="139" t="s">
        <v>109</v>
      </c>
      <c r="B180" s="126">
        <f>ROUND(B178*B179,0)</f>
        <v>52925</v>
      </c>
    </row>
    <row r="181" spans="1:2" x14ac:dyDescent="0.2">
      <c r="A181" s="67" t="s">
        <v>131</v>
      </c>
      <c r="B181" s="67"/>
    </row>
    <row r="182" spans="1:2" x14ac:dyDescent="0.2">
      <c r="A182" s="139" t="s">
        <v>107</v>
      </c>
      <c r="B182" s="167">
        <v>146</v>
      </c>
    </row>
    <row r="183" spans="1:2" x14ac:dyDescent="0.2">
      <c r="A183" s="139" t="s">
        <v>108</v>
      </c>
      <c r="B183" s="126">
        <f>ROUND((B178*1.5)*B182,0)</f>
        <v>1588</v>
      </c>
    </row>
    <row r="184" spans="1:2" x14ac:dyDescent="0.2">
      <c r="A184" s="139" t="s">
        <v>111</v>
      </c>
      <c r="B184" s="167">
        <v>85</v>
      </c>
    </row>
    <row r="185" spans="1:2" x14ac:dyDescent="0.2">
      <c r="A185" s="139" t="s">
        <v>112</v>
      </c>
      <c r="B185" s="126">
        <f>ROUND(B178*1.5*B184,0)</f>
        <v>924</v>
      </c>
    </row>
    <row r="186" spans="1:2" x14ac:dyDescent="0.2">
      <c r="A186" s="36"/>
      <c r="B186" s="34"/>
    </row>
    <row r="187" spans="1:2" x14ac:dyDescent="0.2">
      <c r="A187" s="502" t="s">
        <v>576</v>
      </c>
      <c r="B187" s="502"/>
    </row>
    <row r="188" spans="1:2" x14ac:dyDescent="0.2">
      <c r="A188" s="197" t="s">
        <v>121</v>
      </c>
      <c r="B188" s="42"/>
    </row>
    <row r="189" spans="1:2" x14ac:dyDescent="0.2">
      <c r="A189" s="125" t="s">
        <v>96</v>
      </c>
      <c r="B189" s="484" t="s">
        <v>571</v>
      </c>
    </row>
    <row r="190" spans="1:2" x14ac:dyDescent="0.2">
      <c r="A190" s="472" t="s">
        <v>101</v>
      </c>
    </row>
    <row r="191" spans="1:2" x14ac:dyDescent="0.2">
      <c r="A191" s="139" t="s">
        <v>98</v>
      </c>
      <c r="B191" s="189">
        <v>0</v>
      </c>
    </row>
    <row r="192" spans="1:2" x14ac:dyDescent="0.2">
      <c r="A192" s="139" t="s">
        <v>99</v>
      </c>
      <c r="B192" s="167">
        <v>0</v>
      </c>
    </row>
    <row r="193" spans="1:2" x14ac:dyDescent="0.2">
      <c r="A193" s="139" t="s">
        <v>104</v>
      </c>
      <c r="B193" s="126">
        <f>ROUND(B191*B192,0)</f>
        <v>0</v>
      </c>
    </row>
    <row r="194" spans="1:2" x14ac:dyDescent="0.2">
      <c r="A194" s="139" t="s">
        <v>229</v>
      </c>
      <c r="B194" s="171">
        <v>0</v>
      </c>
    </row>
    <row r="195" spans="1:2" x14ac:dyDescent="0.2">
      <c r="A195" s="139" t="s">
        <v>100</v>
      </c>
      <c r="B195" s="191">
        <v>0</v>
      </c>
    </row>
    <row r="196" spans="1:2" x14ac:dyDescent="0.2">
      <c r="A196" s="139" t="s">
        <v>227</v>
      </c>
      <c r="B196" s="126">
        <f>ROUND(B194*B195,0)</f>
        <v>0</v>
      </c>
    </row>
    <row r="197" spans="1:2" x14ac:dyDescent="0.2">
      <c r="A197" s="139" t="s">
        <v>228</v>
      </c>
      <c r="B197" s="135">
        <f>ROUND(B7,0)</f>
        <v>438</v>
      </c>
    </row>
    <row r="198" spans="1:2" x14ac:dyDescent="0.2">
      <c r="A198" s="139" t="s">
        <v>103</v>
      </c>
      <c r="B198" s="126">
        <f>ROUND(B196*B197,0)</f>
        <v>0</v>
      </c>
    </row>
    <row r="199" spans="1:2" x14ac:dyDescent="0.2">
      <c r="A199" s="67" t="s">
        <v>102</v>
      </c>
      <c r="B199" s="67"/>
    </row>
    <row r="200" spans="1:2" x14ac:dyDescent="0.2">
      <c r="A200" s="139" t="s">
        <v>105</v>
      </c>
      <c r="B200" s="189">
        <v>7.25</v>
      </c>
    </row>
    <row r="201" spans="1:2" x14ac:dyDescent="0.2">
      <c r="A201" s="139" t="s">
        <v>106</v>
      </c>
      <c r="B201" s="167">
        <v>0</v>
      </c>
    </row>
    <row r="202" spans="1:2" x14ac:dyDescent="0.2">
      <c r="A202" s="139" t="s">
        <v>109</v>
      </c>
      <c r="B202" s="126">
        <f>ROUND(B200*B201,0)</f>
        <v>0</v>
      </c>
    </row>
    <row r="203" spans="1:2" x14ac:dyDescent="0.2">
      <c r="A203" s="45" t="s">
        <v>131</v>
      </c>
      <c r="B203" s="34"/>
    </row>
    <row r="204" spans="1:2" x14ac:dyDescent="0.2">
      <c r="A204" s="139" t="s">
        <v>107</v>
      </c>
      <c r="B204" s="167">
        <v>0</v>
      </c>
    </row>
    <row r="205" spans="1:2" x14ac:dyDescent="0.2">
      <c r="A205" s="139" t="s">
        <v>108</v>
      </c>
      <c r="B205" s="126">
        <f>ROUND((B200*1.5)*B204,0)</f>
        <v>0</v>
      </c>
    </row>
    <row r="206" spans="1:2" x14ac:dyDescent="0.2">
      <c r="A206" s="139" t="s">
        <v>111</v>
      </c>
      <c r="B206" s="167">
        <v>0</v>
      </c>
    </row>
    <row r="207" spans="1:2" x14ac:dyDescent="0.2">
      <c r="A207" s="139" t="s">
        <v>112</v>
      </c>
      <c r="B207" s="126">
        <f>ROUND(B200*1.5*B206,0)</f>
        <v>0</v>
      </c>
    </row>
    <row r="208" spans="1:2" x14ac:dyDescent="0.2">
      <c r="A208" s="36"/>
      <c r="B208" s="34"/>
    </row>
    <row r="209" spans="1:3" x14ac:dyDescent="0.2">
      <c r="A209" s="502" t="s">
        <v>577</v>
      </c>
      <c r="B209" s="502"/>
    </row>
    <row r="210" spans="1:3" x14ac:dyDescent="0.2">
      <c r="A210" s="125" t="s">
        <v>110</v>
      </c>
      <c r="B210" s="484" t="s">
        <v>574</v>
      </c>
    </row>
    <row r="211" spans="1:3" ht="13.9" customHeight="1" x14ac:dyDescent="0.2">
      <c r="A211" s="472" t="s">
        <v>101</v>
      </c>
    </row>
    <row r="212" spans="1:3" x14ac:dyDescent="0.2">
      <c r="A212" s="139" t="s">
        <v>98</v>
      </c>
      <c r="B212" s="189">
        <v>0</v>
      </c>
    </row>
    <row r="213" spans="1:3" x14ac:dyDescent="0.2">
      <c r="A213" s="139" t="s">
        <v>99</v>
      </c>
      <c r="B213" s="167">
        <v>0</v>
      </c>
    </row>
    <row r="214" spans="1:3" x14ac:dyDescent="0.2">
      <c r="A214" s="139" t="s">
        <v>104</v>
      </c>
      <c r="B214" s="126">
        <f>ROUND(B212*B213,0)</f>
        <v>0</v>
      </c>
    </row>
    <row r="215" spans="1:3" x14ac:dyDescent="0.2">
      <c r="A215" s="139" t="s">
        <v>229</v>
      </c>
      <c r="B215" s="171">
        <v>0</v>
      </c>
    </row>
    <row r="216" spans="1:3" x14ac:dyDescent="0.2">
      <c r="A216" s="139" t="s">
        <v>100</v>
      </c>
      <c r="B216" s="191">
        <v>0</v>
      </c>
    </row>
    <row r="217" spans="1:3" x14ac:dyDescent="0.2">
      <c r="A217" s="139" t="s">
        <v>227</v>
      </c>
      <c r="B217" s="126">
        <f>ROUND(B215*B216,0)</f>
        <v>0</v>
      </c>
      <c r="C217" s="44"/>
    </row>
    <row r="218" spans="1:3" x14ac:dyDescent="0.2">
      <c r="A218" s="139" t="s">
        <v>228</v>
      </c>
      <c r="B218" s="135">
        <f>ROUND(B7,0)</f>
        <v>438</v>
      </c>
    </row>
    <row r="219" spans="1:3" x14ac:dyDescent="0.2">
      <c r="A219" s="139" t="s">
        <v>103</v>
      </c>
      <c r="B219" s="126">
        <f>ROUND(B217*B218,0)</f>
        <v>0</v>
      </c>
    </row>
    <row r="220" spans="1:3" x14ac:dyDescent="0.2">
      <c r="A220" s="472" t="s">
        <v>102</v>
      </c>
    </row>
    <row r="221" spans="1:3" x14ac:dyDescent="0.2">
      <c r="A221" s="139" t="s">
        <v>105</v>
      </c>
      <c r="B221" s="189">
        <v>7.25</v>
      </c>
    </row>
    <row r="222" spans="1:3" x14ac:dyDescent="0.2">
      <c r="A222" s="139" t="s">
        <v>106</v>
      </c>
      <c r="B222" s="167">
        <v>0</v>
      </c>
    </row>
    <row r="223" spans="1:3" x14ac:dyDescent="0.2">
      <c r="A223" s="139" t="s">
        <v>109</v>
      </c>
      <c r="B223" s="126">
        <f>ROUND(B221*B222,0)</f>
        <v>0</v>
      </c>
    </row>
    <row r="224" spans="1:3" x14ac:dyDescent="0.2">
      <c r="A224" s="45" t="s">
        <v>131</v>
      </c>
      <c r="B224" s="34"/>
    </row>
    <row r="225" spans="1:3" x14ac:dyDescent="0.2">
      <c r="A225" s="139" t="s">
        <v>107</v>
      </c>
      <c r="B225" s="167">
        <v>0</v>
      </c>
    </row>
    <row r="226" spans="1:3" x14ac:dyDescent="0.2">
      <c r="A226" s="139" t="s">
        <v>108</v>
      </c>
      <c r="B226" s="126">
        <f>ROUND((B221*1.5)*B225,0)</f>
        <v>0</v>
      </c>
    </row>
    <row r="227" spans="1:3" x14ac:dyDescent="0.2">
      <c r="A227" s="139" t="s">
        <v>111</v>
      </c>
      <c r="B227" s="167">
        <v>0</v>
      </c>
    </row>
    <row r="228" spans="1:3" x14ac:dyDescent="0.2">
      <c r="A228" s="139" t="s">
        <v>112</v>
      </c>
      <c r="B228" s="126">
        <f>ROUND(B221*1.5*B227,0)</f>
        <v>0</v>
      </c>
    </row>
    <row r="229" spans="1:3" x14ac:dyDescent="0.2">
      <c r="A229" s="198"/>
      <c r="B229" s="42"/>
      <c r="C229" s="34"/>
    </row>
    <row r="230" spans="1:3" x14ac:dyDescent="0.2">
      <c r="A230" s="502" t="s">
        <v>578</v>
      </c>
      <c r="B230" s="502"/>
    </row>
    <row r="231" spans="1:3" x14ac:dyDescent="0.2">
      <c r="A231" s="123" t="s">
        <v>128</v>
      </c>
    </row>
    <row r="232" spans="1:3" x14ac:dyDescent="0.2">
      <c r="A232" s="67" t="s">
        <v>113</v>
      </c>
      <c r="B232" s="67"/>
    </row>
    <row r="233" spans="1:3" x14ac:dyDescent="0.2">
      <c r="A233" s="139" t="s">
        <v>114</v>
      </c>
      <c r="B233" s="126">
        <f>ROUND(B150+B155,0)</f>
        <v>0</v>
      </c>
      <c r="C233" s="34"/>
    </row>
    <row r="234" spans="1:3" x14ac:dyDescent="0.2">
      <c r="A234" s="139" t="s">
        <v>130</v>
      </c>
      <c r="B234" s="126">
        <f>ROUND(B159,0)</f>
        <v>52925</v>
      </c>
      <c r="C234" s="34"/>
    </row>
    <row r="235" spans="1:3" x14ac:dyDescent="0.2">
      <c r="A235" s="139" t="s">
        <v>116</v>
      </c>
      <c r="B235" s="126">
        <f>ROUND(B150+B155,0)</f>
        <v>0</v>
      </c>
      <c r="C235" s="34"/>
    </row>
    <row r="236" spans="1:3" x14ac:dyDescent="0.2">
      <c r="A236" s="139" t="s">
        <v>117</v>
      </c>
      <c r="B236" s="126">
        <f>ROUND(B234-B235,0)</f>
        <v>52925</v>
      </c>
      <c r="C236" s="34"/>
    </row>
    <row r="237" spans="1:3" x14ac:dyDescent="0.2">
      <c r="A237" s="139" t="s">
        <v>129</v>
      </c>
      <c r="B237" s="126">
        <f>ROUND(B162+B164,0)</f>
        <v>2512</v>
      </c>
      <c r="C237" s="34"/>
    </row>
    <row r="238" spans="1:3" x14ac:dyDescent="0.2">
      <c r="A238" s="472" t="s">
        <v>118</v>
      </c>
    </row>
    <row r="239" spans="1:3" x14ac:dyDescent="0.2">
      <c r="A239" s="139" t="s">
        <v>114</v>
      </c>
      <c r="B239" s="126">
        <f>ROUND(B171+B176,0)</f>
        <v>0</v>
      </c>
      <c r="C239" s="34"/>
    </row>
    <row r="240" spans="1:3" x14ac:dyDescent="0.2">
      <c r="A240" s="139" t="s">
        <v>115</v>
      </c>
      <c r="B240" s="126">
        <f>ROUND(B180,0)</f>
        <v>52925</v>
      </c>
      <c r="C240" s="34"/>
    </row>
    <row r="241" spans="1:3" x14ac:dyDescent="0.2">
      <c r="A241" s="139" t="s">
        <v>116</v>
      </c>
      <c r="B241" s="126">
        <f>ROUND(B171+B176,0)</f>
        <v>0</v>
      </c>
      <c r="C241" s="34"/>
    </row>
    <row r="242" spans="1:3" x14ac:dyDescent="0.2">
      <c r="A242" s="139" t="s">
        <v>117</v>
      </c>
      <c r="B242" s="126">
        <f>ROUND(B240-B241,0)</f>
        <v>52925</v>
      </c>
      <c r="C242" s="34"/>
    </row>
    <row r="243" spans="1:3" x14ac:dyDescent="0.2">
      <c r="A243" s="139" t="s">
        <v>129</v>
      </c>
      <c r="B243" s="126">
        <f>ROUND(B183+B185,0)</f>
        <v>2512</v>
      </c>
      <c r="C243" s="34"/>
    </row>
    <row r="244" spans="1:3" x14ac:dyDescent="0.2">
      <c r="A244" s="472" t="s">
        <v>119</v>
      </c>
    </row>
    <row r="245" spans="1:3" x14ac:dyDescent="0.2">
      <c r="A245" s="139" t="s">
        <v>114</v>
      </c>
      <c r="B245" s="126">
        <f>ROUND(B193+B198,0)</f>
        <v>0</v>
      </c>
      <c r="C245" s="34"/>
    </row>
    <row r="246" spans="1:3" x14ac:dyDescent="0.2">
      <c r="A246" s="139" t="s">
        <v>115</v>
      </c>
      <c r="B246" s="126">
        <f>ROUND(B202,0)</f>
        <v>0</v>
      </c>
      <c r="C246" s="34"/>
    </row>
    <row r="247" spans="1:3" x14ac:dyDescent="0.2">
      <c r="A247" s="139" t="s">
        <v>116</v>
      </c>
      <c r="B247" s="126">
        <f>ROUND(B193+B198,0)</f>
        <v>0</v>
      </c>
      <c r="C247" s="34"/>
    </row>
    <row r="248" spans="1:3" x14ac:dyDescent="0.2">
      <c r="A248" s="139" t="s">
        <v>117</v>
      </c>
      <c r="B248" s="126">
        <f>ROUND(B246-B247,0)</f>
        <v>0</v>
      </c>
      <c r="C248" s="34"/>
    </row>
    <row r="249" spans="1:3" x14ac:dyDescent="0.2">
      <c r="A249" s="139" t="s">
        <v>129</v>
      </c>
      <c r="B249" s="126">
        <f>ROUND(B205+B207,0)</f>
        <v>0</v>
      </c>
      <c r="C249" s="34"/>
    </row>
    <row r="250" spans="1:3" x14ac:dyDescent="0.2">
      <c r="A250" s="198"/>
      <c r="B250" s="42"/>
      <c r="C250" s="34"/>
    </row>
    <row r="251" spans="1:3" x14ac:dyDescent="0.2">
      <c r="A251" s="502" t="s">
        <v>579</v>
      </c>
      <c r="B251" s="502"/>
    </row>
    <row r="252" spans="1:3" x14ac:dyDescent="0.2">
      <c r="A252" s="123" t="s">
        <v>127</v>
      </c>
    </row>
    <row r="253" spans="1:3" x14ac:dyDescent="0.2">
      <c r="A253" s="472" t="s">
        <v>120</v>
      </c>
    </row>
    <row r="254" spans="1:3" x14ac:dyDescent="0.2">
      <c r="A254" s="139" t="s">
        <v>114</v>
      </c>
      <c r="B254" s="126">
        <f>ROUND(B214+B219,0)</f>
        <v>0</v>
      </c>
      <c r="C254" s="34"/>
    </row>
    <row r="255" spans="1:3" x14ac:dyDescent="0.2">
      <c r="A255" s="139" t="s">
        <v>115</v>
      </c>
      <c r="B255" s="126">
        <f>ROUND(B223,0)</f>
        <v>0</v>
      </c>
      <c r="C255" s="34"/>
    </row>
    <row r="256" spans="1:3" x14ac:dyDescent="0.2">
      <c r="A256" s="139" t="s">
        <v>116</v>
      </c>
      <c r="B256" s="126">
        <f>ROUND(B214+B219,0)</f>
        <v>0</v>
      </c>
      <c r="C256" s="34"/>
    </row>
    <row r="257" spans="1:3" x14ac:dyDescent="0.2">
      <c r="A257" s="139" t="s">
        <v>117</v>
      </c>
      <c r="B257" s="126">
        <f>ROUND(B255-B256,0)</f>
        <v>0</v>
      </c>
      <c r="C257" s="34"/>
    </row>
    <row r="258" spans="1:3" x14ac:dyDescent="0.2">
      <c r="A258" s="139" t="s">
        <v>129</v>
      </c>
      <c r="B258" s="126">
        <f>ROUND(B226+B228,0)</f>
        <v>0</v>
      </c>
      <c r="C258" s="34"/>
    </row>
    <row r="259" spans="1:3" ht="7.5" customHeight="1" x14ac:dyDescent="0.2">
      <c r="A259" s="36"/>
      <c r="B259" s="34"/>
    </row>
    <row r="260" spans="1:3" x14ac:dyDescent="0.2">
      <c r="A260" s="139" t="s">
        <v>132</v>
      </c>
      <c r="B260" s="169">
        <v>0.15</v>
      </c>
    </row>
    <row r="261" spans="1:3" x14ac:dyDescent="0.2">
      <c r="A261" s="139" t="s">
        <v>137</v>
      </c>
      <c r="B261" s="126">
        <f>ROUND((B233+B239+B236+B242)*B260,1)</f>
        <v>15877.5</v>
      </c>
    </row>
    <row r="262" spans="1:3" x14ac:dyDescent="0.2">
      <c r="A262" s="139" t="s">
        <v>141</v>
      </c>
      <c r="B262" s="126">
        <f>ROUND((B245+B254+B248+B257)*B260,1)</f>
        <v>0</v>
      </c>
    </row>
    <row r="263" spans="1:3" x14ac:dyDescent="0.2">
      <c r="A263" s="154" t="s">
        <v>133</v>
      </c>
      <c r="B263" s="126">
        <f>SUM(B261:B262)</f>
        <v>15877.5</v>
      </c>
    </row>
    <row r="264" spans="1:3" x14ac:dyDescent="0.2">
      <c r="A264" s="154" t="s">
        <v>142</v>
      </c>
      <c r="B264" s="126">
        <f>ROUND((B233+B239+B245+B254+B236+B242+B248+B257)*B260,1)</f>
        <v>15877.5</v>
      </c>
    </row>
    <row r="265" spans="1:3" x14ac:dyDescent="0.2">
      <c r="A265" s="125" t="s">
        <v>29</v>
      </c>
      <c r="B265" s="135">
        <f>ROUND(B263-B264,1)</f>
        <v>0</v>
      </c>
      <c r="C265" s="29"/>
    </row>
    <row r="266" spans="1:3" x14ac:dyDescent="0.2">
      <c r="A266" s="198"/>
      <c r="B266" s="42"/>
      <c r="C266" s="34"/>
    </row>
    <row r="267" spans="1:3" x14ac:dyDescent="0.2">
      <c r="A267" s="502" t="s">
        <v>580</v>
      </c>
      <c r="B267" s="502"/>
    </row>
    <row r="268" spans="1:3" x14ac:dyDescent="0.2">
      <c r="A268" s="470" t="s">
        <v>191</v>
      </c>
      <c r="B268" s="34"/>
    </row>
    <row r="269" spans="1:3" x14ac:dyDescent="0.2">
      <c r="A269" s="139" t="s">
        <v>155</v>
      </c>
      <c r="B269" s="126">
        <f>ROUND(B233+B239+B245+B254,0)</f>
        <v>0</v>
      </c>
    </row>
    <row r="270" spans="1:3" x14ac:dyDescent="0.2">
      <c r="A270" s="155" t="s">
        <v>154</v>
      </c>
      <c r="B270" s="126">
        <f>ROUND(B257+B248+B242+B236,0)</f>
        <v>105850</v>
      </c>
    </row>
    <row r="271" spans="1:3" x14ac:dyDescent="0.2">
      <c r="A271" s="155" t="s">
        <v>156</v>
      </c>
      <c r="B271" s="126">
        <f>ROUND(B258+B249+B243+B237,0)</f>
        <v>5024</v>
      </c>
    </row>
    <row r="272" spans="1:3" x14ac:dyDescent="0.2">
      <c r="A272" s="139" t="s">
        <v>157</v>
      </c>
      <c r="B272" s="126">
        <f>ROUND(SUM(B269:B270)*B260,0)</f>
        <v>15878</v>
      </c>
    </row>
    <row r="273" spans="1:2" x14ac:dyDescent="0.2">
      <c r="A273" s="125" t="s">
        <v>158</v>
      </c>
      <c r="B273" s="126">
        <f>SUM(B269:B272)</f>
        <v>126752</v>
      </c>
    </row>
    <row r="274" spans="1:2" x14ac:dyDescent="0.2">
      <c r="A274" s="123" t="s">
        <v>89</v>
      </c>
    </row>
    <row r="275" spans="1:2" x14ac:dyDescent="0.2">
      <c r="A275" s="154" t="s">
        <v>88</v>
      </c>
      <c r="B275" s="128"/>
    </row>
    <row r="276" spans="1:2" x14ac:dyDescent="0.2">
      <c r="A276" s="139" t="s">
        <v>91</v>
      </c>
      <c r="B276" s="171">
        <v>0</v>
      </c>
    </row>
    <row r="277" spans="1:2" x14ac:dyDescent="0.2">
      <c r="A277" s="139" t="s">
        <v>207</v>
      </c>
      <c r="B277" s="146">
        <f>ROUND(B276*B260,0)</f>
        <v>0</v>
      </c>
    </row>
    <row r="278" spans="1:2" x14ac:dyDescent="0.2">
      <c r="A278" s="154" t="s">
        <v>497</v>
      </c>
      <c r="B278" s="146">
        <f>ROUND(B276+B277,0)</f>
        <v>0</v>
      </c>
    </row>
    <row r="279" spans="1:2" x14ac:dyDescent="0.2">
      <c r="A279" s="36" t="s">
        <v>55</v>
      </c>
    </row>
    <row r="280" spans="1:2" x14ac:dyDescent="0.2">
      <c r="A280" s="199" t="s">
        <v>90</v>
      </c>
      <c r="B280" s="67"/>
    </row>
    <row r="281" spans="1:2" x14ac:dyDescent="0.2">
      <c r="A281" s="139" t="s">
        <v>91</v>
      </c>
      <c r="B281" s="171">
        <v>35000</v>
      </c>
    </row>
    <row r="282" spans="1:2" x14ac:dyDescent="0.2">
      <c r="A282" s="139" t="s">
        <v>92</v>
      </c>
      <c r="B282" s="169">
        <v>0.1</v>
      </c>
    </row>
    <row r="283" spans="1:2" x14ac:dyDescent="0.2">
      <c r="A283" s="139" t="s">
        <v>93</v>
      </c>
      <c r="B283" s="126">
        <f>ROUND(B281*B282,0)</f>
        <v>3500</v>
      </c>
    </row>
    <row r="284" spans="1:2" x14ac:dyDescent="0.2">
      <c r="A284" s="139" t="s">
        <v>207</v>
      </c>
      <c r="B284" s="126">
        <f>ROUND((B283)*B260,0)</f>
        <v>525</v>
      </c>
    </row>
    <row r="285" spans="1:2" x14ac:dyDescent="0.2">
      <c r="A285" s="125" t="s">
        <v>498</v>
      </c>
      <c r="B285" s="126">
        <f>ROUND(B283+B284,0)</f>
        <v>4025</v>
      </c>
    </row>
    <row r="286" spans="1:2" x14ac:dyDescent="0.2">
      <c r="A286" s="125" t="s">
        <v>499</v>
      </c>
      <c r="B286" s="126">
        <f>ROUND(B278+B285,0)</f>
        <v>4025</v>
      </c>
    </row>
    <row r="287" spans="1:2" ht="7.5" customHeight="1" x14ac:dyDescent="0.2">
      <c r="A287" s="36"/>
      <c r="B287" s="34"/>
    </row>
    <row r="288" spans="1:2" x14ac:dyDescent="0.2">
      <c r="A288" s="502" t="s">
        <v>581</v>
      </c>
      <c r="B288" s="502"/>
    </row>
    <row r="289" spans="1:3" x14ac:dyDescent="0.2">
      <c r="A289" s="123" t="s">
        <v>143</v>
      </c>
      <c r="B289" s="34"/>
    </row>
    <row r="290" spans="1:3" ht="12.6" customHeight="1" x14ac:dyDescent="0.2">
      <c r="A290" s="67" t="s">
        <v>150</v>
      </c>
      <c r="B290" s="67"/>
    </row>
    <row r="291" spans="1:3" x14ac:dyDescent="0.2">
      <c r="A291" s="155" t="s">
        <v>149</v>
      </c>
      <c r="B291" s="171">
        <v>25000</v>
      </c>
    </row>
    <row r="292" spans="1:3" x14ac:dyDescent="0.2">
      <c r="A292" s="139" t="s">
        <v>148</v>
      </c>
      <c r="B292" s="200">
        <v>0.25</v>
      </c>
    </row>
    <row r="293" spans="1:3" x14ac:dyDescent="0.2">
      <c r="A293" s="139" t="s">
        <v>151</v>
      </c>
      <c r="B293" s="126">
        <f>ROUND(B291*B292,0)</f>
        <v>6250</v>
      </c>
    </row>
    <row r="294" spans="1:3" x14ac:dyDescent="0.2">
      <c r="A294" s="36" t="s">
        <v>144</v>
      </c>
    </row>
    <row r="295" spans="1:3" x14ac:dyDescent="0.2">
      <c r="A295" s="139" t="s">
        <v>132</v>
      </c>
      <c r="B295" s="200">
        <f>ROUND(B260,3)</f>
        <v>0.15</v>
      </c>
    </row>
    <row r="296" spans="1:3" x14ac:dyDescent="0.2">
      <c r="A296" s="139" t="s">
        <v>152</v>
      </c>
      <c r="B296" s="126">
        <f>ROUND(B293*B295,0)</f>
        <v>938</v>
      </c>
      <c r="C296" s="34"/>
    </row>
    <row r="297" spans="1:3" x14ac:dyDescent="0.2">
      <c r="A297" s="139" t="s">
        <v>145</v>
      </c>
      <c r="B297" s="171">
        <f>50*12</f>
        <v>600</v>
      </c>
    </row>
    <row r="298" spans="1:3" x14ac:dyDescent="0.2">
      <c r="A298" s="222" t="s">
        <v>594</v>
      </c>
      <c r="B298" s="223">
        <f>SUM(B293+B296+B297)</f>
        <v>7788</v>
      </c>
    </row>
    <row r="299" spans="1:3" s="65" customFormat="1" x14ac:dyDescent="0.2">
      <c r="A299" s="226" t="s">
        <v>55</v>
      </c>
      <c r="B299" s="225"/>
    </row>
    <row r="300" spans="1:3" x14ac:dyDescent="0.2">
      <c r="A300" s="472" t="s">
        <v>192</v>
      </c>
    </row>
    <row r="301" spans="1:3" x14ac:dyDescent="0.2">
      <c r="A301" s="139" t="s">
        <v>146</v>
      </c>
      <c r="B301" s="202">
        <v>40</v>
      </c>
    </row>
    <row r="302" spans="1:3" x14ac:dyDescent="0.2">
      <c r="A302" s="222" t="s">
        <v>595</v>
      </c>
      <c r="B302" s="223">
        <f>ROUND(B19*B301,0)</f>
        <v>13160</v>
      </c>
    </row>
    <row r="303" spans="1:3" x14ac:dyDescent="0.2">
      <c r="A303" s="69" t="s">
        <v>55</v>
      </c>
    </row>
    <row r="304" spans="1:3" x14ac:dyDescent="0.2">
      <c r="A304" s="139" t="s">
        <v>147</v>
      </c>
      <c r="B304" s="200">
        <v>0.35</v>
      </c>
    </row>
    <row r="305" spans="1:5" x14ac:dyDescent="0.2">
      <c r="A305" s="222" t="s">
        <v>596</v>
      </c>
      <c r="B305" s="223">
        <f>ROUND(B304*(SUM('1 Basic Budget'!B154:B163)),0)</f>
        <v>55046</v>
      </c>
    </row>
    <row r="306" spans="1:5" x14ac:dyDescent="0.2">
      <c r="A306" s="229" t="s">
        <v>531</v>
      </c>
      <c r="B306" s="179">
        <f>B302</f>
        <v>13160</v>
      </c>
    </row>
    <row r="307" spans="1:5" x14ac:dyDescent="0.2">
      <c r="A307" s="47" t="s">
        <v>171</v>
      </c>
      <c r="B307" s="34"/>
    </row>
    <row r="308" spans="1:5" x14ac:dyDescent="0.2">
      <c r="A308" s="155" t="s">
        <v>173</v>
      </c>
      <c r="B308" s="171">
        <v>0</v>
      </c>
      <c r="C308" s="34"/>
    </row>
    <row r="309" spans="1:5" x14ac:dyDescent="0.2">
      <c r="A309" s="155" t="s">
        <v>165</v>
      </c>
      <c r="B309" s="171">
        <v>1600</v>
      </c>
      <c r="E309" s="472" t="s">
        <v>536</v>
      </c>
    </row>
    <row r="310" spans="1:5" x14ac:dyDescent="0.2">
      <c r="A310" s="155" t="s">
        <v>159</v>
      </c>
      <c r="B310" s="171">
        <v>0</v>
      </c>
    </row>
    <row r="311" spans="1:5" x14ac:dyDescent="0.2">
      <c r="A311" s="155" t="s">
        <v>160</v>
      </c>
      <c r="B311" s="171">
        <f>ROUND(100*12,0)</f>
        <v>1200</v>
      </c>
    </row>
    <row r="312" spans="1:5" x14ac:dyDescent="0.2">
      <c r="A312" s="155" t="s">
        <v>161</v>
      </c>
      <c r="B312" s="171">
        <v>1200</v>
      </c>
    </row>
    <row r="313" spans="1:5" x14ac:dyDescent="0.2">
      <c r="A313" s="156" t="s">
        <v>190</v>
      </c>
      <c r="B313" s="126">
        <f>SUM(B308:B312)</f>
        <v>4000</v>
      </c>
    </row>
    <row r="314" spans="1:5" x14ac:dyDescent="0.2">
      <c r="A314" s="47" t="s">
        <v>172</v>
      </c>
      <c r="B314" s="34"/>
    </row>
    <row r="315" spans="1:5" x14ac:dyDescent="0.2">
      <c r="A315" s="155" t="s">
        <v>173</v>
      </c>
      <c r="B315" s="171">
        <v>0</v>
      </c>
      <c r="C315" s="34"/>
    </row>
    <row r="316" spans="1:5" x14ac:dyDescent="0.2">
      <c r="A316" s="155" t="s">
        <v>165</v>
      </c>
      <c r="B316" s="171">
        <v>0</v>
      </c>
    </row>
    <row r="317" spans="1:5" x14ac:dyDescent="0.2">
      <c r="A317" s="155" t="s">
        <v>159</v>
      </c>
      <c r="B317" s="171">
        <v>0</v>
      </c>
    </row>
    <row r="318" spans="1:5" x14ac:dyDescent="0.2">
      <c r="A318" s="155" t="s">
        <v>160</v>
      </c>
      <c r="B318" s="171">
        <v>0</v>
      </c>
    </row>
    <row r="319" spans="1:5" x14ac:dyDescent="0.2">
      <c r="A319" s="155" t="s">
        <v>161</v>
      </c>
      <c r="B319" s="171">
        <v>0</v>
      </c>
    </row>
    <row r="320" spans="1:5" x14ac:dyDescent="0.2">
      <c r="A320" s="156" t="s">
        <v>189</v>
      </c>
      <c r="B320" s="126">
        <f>SUM(B315:B319)</f>
        <v>0</v>
      </c>
    </row>
    <row r="321" spans="1:3" x14ac:dyDescent="0.2">
      <c r="A321" s="36"/>
      <c r="B321" s="34"/>
    </row>
    <row r="322" spans="1:3" x14ac:dyDescent="0.2">
      <c r="A322" s="502" t="s">
        <v>582</v>
      </c>
      <c r="B322" s="502"/>
    </row>
    <row r="323" spans="1:3" x14ac:dyDescent="0.2">
      <c r="A323" s="49" t="s">
        <v>176</v>
      </c>
    </row>
    <row r="324" spans="1:3" x14ac:dyDescent="0.2">
      <c r="A324" s="155" t="s">
        <v>166</v>
      </c>
      <c r="B324" s="171">
        <f>150*1*12</f>
        <v>1800</v>
      </c>
    </row>
    <row r="325" spans="1:3" x14ac:dyDescent="0.2">
      <c r="A325" s="155" t="s">
        <v>167</v>
      </c>
      <c r="B325" s="171">
        <f>300*1*12</f>
        <v>3600</v>
      </c>
    </row>
    <row r="326" spans="1:3" x14ac:dyDescent="0.2">
      <c r="A326" s="155" t="s">
        <v>170</v>
      </c>
      <c r="B326" s="171">
        <f>(175)*12</f>
        <v>2100</v>
      </c>
    </row>
    <row r="327" spans="1:3" x14ac:dyDescent="0.2">
      <c r="A327" s="155" t="s">
        <v>168</v>
      </c>
      <c r="B327" s="171">
        <f>75*1*12</f>
        <v>900</v>
      </c>
    </row>
    <row r="328" spans="1:3" x14ac:dyDescent="0.2">
      <c r="A328" s="156" t="s">
        <v>169</v>
      </c>
      <c r="B328" s="126">
        <f>SUM(B324:B327)</f>
        <v>8400</v>
      </c>
    </row>
    <row r="329" spans="1:3" x14ac:dyDescent="0.2">
      <c r="A329" s="49" t="s">
        <v>175</v>
      </c>
    </row>
    <row r="330" spans="1:3" x14ac:dyDescent="0.2">
      <c r="A330" s="155" t="s">
        <v>166</v>
      </c>
      <c r="B330" s="171">
        <v>0</v>
      </c>
    </row>
    <row r="331" spans="1:3" x14ac:dyDescent="0.2">
      <c r="A331" s="155" t="s">
        <v>167</v>
      </c>
      <c r="B331" s="171">
        <v>0</v>
      </c>
    </row>
    <row r="332" spans="1:3" x14ac:dyDescent="0.2">
      <c r="A332" s="155" t="s">
        <v>170</v>
      </c>
      <c r="B332" s="171">
        <v>0</v>
      </c>
    </row>
    <row r="333" spans="1:3" x14ac:dyDescent="0.2">
      <c r="A333" s="155" t="s">
        <v>168</v>
      </c>
      <c r="B333" s="171">
        <v>0</v>
      </c>
    </row>
    <row r="334" spans="1:3" x14ac:dyDescent="0.2">
      <c r="A334" s="156" t="s">
        <v>169</v>
      </c>
      <c r="B334" s="126">
        <f>SUM(B330:B333)</f>
        <v>0</v>
      </c>
    </row>
    <row r="335" spans="1:3" x14ac:dyDescent="0.2">
      <c r="A335" s="123" t="s">
        <v>162</v>
      </c>
    </row>
    <row r="336" spans="1:3" x14ac:dyDescent="0.2">
      <c r="A336" s="139" t="s">
        <v>163</v>
      </c>
      <c r="B336" s="171">
        <f>2000*(B67+B69+B71)</f>
        <v>0</v>
      </c>
      <c r="C336" s="34"/>
    </row>
    <row r="337" spans="1:3" x14ac:dyDescent="0.2">
      <c r="A337" s="45" t="s">
        <v>213</v>
      </c>
      <c r="B337" s="34"/>
    </row>
    <row r="338" spans="1:3" x14ac:dyDescent="0.2">
      <c r="A338" s="139" t="s">
        <v>215</v>
      </c>
      <c r="B338" s="135">
        <f>ROUND(B67+B69+B71,0)</f>
        <v>0</v>
      </c>
    </row>
    <row r="339" spans="1:3" x14ac:dyDescent="0.2">
      <c r="A339" s="139" t="s">
        <v>216</v>
      </c>
      <c r="B339" s="171">
        <f>ROUND(100,0)</f>
        <v>100</v>
      </c>
    </row>
    <row r="340" spans="1:3" x14ac:dyDescent="0.2">
      <c r="A340" s="139" t="s">
        <v>217</v>
      </c>
      <c r="B340" s="126">
        <f>ROUND(B338*B339,0)</f>
        <v>0</v>
      </c>
    </row>
    <row r="341" spans="1:3" x14ac:dyDescent="0.2">
      <c r="A341" s="139" t="s">
        <v>164</v>
      </c>
      <c r="B341" s="171">
        <f>1750*(B67+B69+B71)</f>
        <v>0</v>
      </c>
    </row>
    <row r="342" spans="1:3" x14ac:dyDescent="0.2">
      <c r="A342" s="139" t="s">
        <v>439</v>
      </c>
      <c r="B342" s="171">
        <f>ROUND(120,0)</f>
        <v>120</v>
      </c>
    </row>
    <row r="343" spans="1:3" ht="25.5" x14ac:dyDescent="0.2">
      <c r="A343" s="155" t="s">
        <v>440</v>
      </c>
      <c r="B343" s="204">
        <f>ROUND(B31/3000,1)</f>
        <v>5.0999999999999996</v>
      </c>
    </row>
    <row r="344" spans="1:3" x14ac:dyDescent="0.2">
      <c r="A344" s="139" t="s">
        <v>438</v>
      </c>
      <c r="B344" s="146">
        <f>ROUND(B342*B343,0)</f>
        <v>612</v>
      </c>
      <c r="C344" s="65"/>
    </row>
    <row r="345" spans="1:3" x14ac:dyDescent="0.2">
      <c r="A345" s="139" t="s">
        <v>435</v>
      </c>
      <c r="B345" s="171">
        <f>ROUND(1800,0)</f>
        <v>1800</v>
      </c>
    </row>
    <row r="346" spans="1:3" x14ac:dyDescent="0.2">
      <c r="A346" s="139" t="s">
        <v>437</v>
      </c>
      <c r="B346" s="204">
        <f>ROUND(B31/30000,1)</f>
        <v>0.5</v>
      </c>
    </row>
    <row r="347" spans="1:3" x14ac:dyDescent="0.2">
      <c r="A347" s="139" t="s">
        <v>436</v>
      </c>
      <c r="B347" s="146">
        <f>ROUND(B345*B346,0)</f>
        <v>900</v>
      </c>
      <c r="C347" s="65"/>
    </row>
    <row r="348" spans="1:3" x14ac:dyDescent="0.2">
      <c r="A348" s="139" t="s">
        <v>178</v>
      </c>
      <c r="B348" s="206">
        <v>4</v>
      </c>
    </row>
    <row r="349" spans="1:3" s="496" customFormat="1" x14ac:dyDescent="0.2">
      <c r="A349" s="139" t="s">
        <v>680</v>
      </c>
      <c r="B349" s="498">
        <f>ROUND(B42/8,0)</f>
        <v>1914</v>
      </c>
    </row>
    <row r="350" spans="1:3" s="496" customFormat="1" x14ac:dyDescent="0.2">
      <c r="A350" s="139" t="s">
        <v>679</v>
      </c>
      <c r="B350" s="498">
        <f>ROUND(B43/9,0)</f>
        <v>0</v>
      </c>
    </row>
    <row r="351" spans="1:3" s="496" customFormat="1" x14ac:dyDescent="0.2">
      <c r="A351" s="139" t="s">
        <v>681</v>
      </c>
      <c r="B351" s="498">
        <f>ROUND(B44/9,0)</f>
        <v>0</v>
      </c>
    </row>
    <row r="352" spans="1:3" x14ac:dyDescent="0.2">
      <c r="A352" s="139" t="s">
        <v>179</v>
      </c>
      <c r="B352" s="126">
        <f>ROUND((B349+B350+B351)*B348,0)</f>
        <v>7656</v>
      </c>
    </row>
    <row r="353" spans="1:2" x14ac:dyDescent="0.2">
      <c r="A353" s="154" t="s">
        <v>188</v>
      </c>
      <c r="B353" s="126">
        <f>B336+B340+B341+B344+B347+B352</f>
        <v>9168</v>
      </c>
    </row>
    <row r="354" spans="1:2" x14ac:dyDescent="0.2">
      <c r="A354" s="36"/>
      <c r="B354" s="34"/>
    </row>
    <row r="355" spans="1:2" x14ac:dyDescent="0.2">
      <c r="A355" s="502" t="s">
        <v>583</v>
      </c>
      <c r="B355" s="502"/>
    </row>
    <row r="356" spans="1:2" x14ac:dyDescent="0.2">
      <c r="A356" s="470" t="s">
        <v>177</v>
      </c>
      <c r="B356" s="34"/>
    </row>
    <row r="357" spans="1:2" x14ac:dyDescent="0.2">
      <c r="A357" s="139" t="s">
        <v>181</v>
      </c>
      <c r="B357" s="171">
        <v>35</v>
      </c>
    </row>
    <row r="358" spans="1:2" x14ac:dyDescent="0.2">
      <c r="A358" s="139" t="s">
        <v>180</v>
      </c>
      <c r="B358" s="126">
        <f>ROUND(B7*B357,0)</f>
        <v>15330</v>
      </c>
    </row>
    <row r="359" spans="1:2" x14ac:dyDescent="0.2">
      <c r="A359" s="139" t="s">
        <v>182</v>
      </c>
      <c r="B359" s="171">
        <v>45</v>
      </c>
    </row>
    <row r="360" spans="1:2" x14ac:dyDescent="0.2">
      <c r="A360" s="139" t="s">
        <v>183</v>
      </c>
      <c r="B360" s="126">
        <f>ROUND(B21+B22*B359,0)</f>
        <v>3950</v>
      </c>
    </row>
    <row r="361" spans="1:2" x14ac:dyDescent="0.2">
      <c r="A361" s="139" t="s">
        <v>654</v>
      </c>
      <c r="B361" s="171">
        <v>0</v>
      </c>
    </row>
    <row r="362" spans="1:2" x14ac:dyDescent="0.2">
      <c r="A362" s="139" t="s">
        <v>655</v>
      </c>
      <c r="B362" s="126">
        <f>ROUND((B23+B24)*B361,0)</f>
        <v>0</v>
      </c>
    </row>
    <row r="363" spans="1:2" x14ac:dyDescent="0.2">
      <c r="A363" s="139"/>
      <c r="B363" s="171"/>
    </row>
    <row r="364" spans="1:2" x14ac:dyDescent="0.2">
      <c r="A364" s="139"/>
      <c r="B364" s="128"/>
    </row>
    <row r="365" spans="1:2" x14ac:dyDescent="0.2">
      <c r="A365" s="154" t="s">
        <v>184</v>
      </c>
      <c r="B365" s="126">
        <f>ROUND(B358+B360+B362+B364,0)</f>
        <v>19280</v>
      </c>
    </row>
    <row r="366" spans="1:2" x14ac:dyDescent="0.2">
      <c r="A366" s="156" t="s">
        <v>391</v>
      </c>
      <c r="B366" s="208">
        <f>ROUND(B365/B19,2)</f>
        <v>58.6</v>
      </c>
    </row>
    <row r="367" spans="1:2" x14ac:dyDescent="0.2">
      <c r="A367" s="49" t="s">
        <v>431</v>
      </c>
    </row>
    <row r="368" spans="1:2" x14ac:dyDescent="0.2">
      <c r="A368" s="210" t="s">
        <v>186</v>
      </c>
      <c r="B368" s="211"/>
    </row>
    <row r="369" spans="1:2" x14ac:dyDescent="0.2">
      <c r="A369" s="155" t="s">
        <v>208</v>
      </c>
      <c r="B369" s="171">
        <f>ROUND(125,0)</f>
        <v>125</v>
      </c>
    </row>
    <row r="370" spans="1:2" x14ac:dyDescent="0.2">
      <c r="A370" s="155" t="s">
        <v>211</v>
      </c>
      <c r="B370" s="126">
        <f>ROUND(B369*12,0)</f>
        <v>1500</v>
      </c>
    </row>
    <row r="371" spans="1:2" x14ac:dyDescent="0.2">
      <c r="A371" s="48" t="s">
        <v>209</v>
      </c>
      <c r="B371" s="34"/>
    </row>
    <row r="372" spans="1:2" x14ac:dyDescent="0.2">
      <c r="A372" s="155" t="s">
        <v>222</v>
      </c>
      <c r="B372" s="135">
        <f>B80</f>
        <v>0</v>
      </c>
    </row>
    <row r="373" spans="1:2" x14ac:dyDescent="0.2">
      <c r="A373" s="155" t="s">
        <v>210</v>
      </c>
      <c r="B373" s="171">
        <f>ROUND(15,0)</f>
        <v>15</v>
      </c>
    </row>
    <row r="374" spans="1:2" x14ac:dyDescent="0.2">
      <c r="A374" s="155" t="s">
        <v>212</v>
      </c>
      <c r="B374" s="126">
        <f>ROUND(B372*B373*12,0)</f>
        <v>0</v>
      </c>
    </row>
    <row r="375" spans="1:2" x14ac:dyDescent="0.2">
      <c r="A375" s="156" t="s">
        <v>187</v>
      </c>
      <c r="B375" s="126">
        <f>ROUND(B370+B374,0)</f>
        <v>1500</v>
      </c>
    </row>
    <row r="376" spans="1:2" x14ac:dyDescent="0.2">
      <c r="A376" s="123" t="s">
        <v>185</v>
      </c>
      <c r="B376" s="34"/>
    </row>
    <row r="377" spans="1:2" x14ac:dyDescent="0.2">
      <c r="A377" s="154" t="s">
        <v>442</v>
      </c>
      <c r="B377" s="171">
        <f>ROUND(450,0)</f>
        <v>450</v>
      </c>
    </row>
    <row r="378" spans="1:2" x14ac:dyDescent="0.2">
      <c r="A378" s="154" t="s">
        <v>441</v>
      </c>
      <c r="B378" s="171">
        <v>0</v>
      </c>
    </row>
    <row r="379" spans="1:2" x14ac:dyDescent="0.2">
      <c r="A379" s="45" t="s">
        <v>533</v>
      </c>
      <c r="B379" s="34"/>
    </row>
    <row r="380" spans="1:2" x14ac:dyDescent="0.2">
      <c r="A380" s="155" t="s">
        <v>534</v>
      </c>
      <c r="B380" s="167">
        <f>B80</f>
        <v>0</v>
      </c>
    </row>
    <row r="381" spans="1:2" x14ac:dyDescent="0.2">
      <c r="A381" s="155" t="s">
        <v>622</v>
      </c>
      <c r="B381" s="171">
        <f>ROUND(25,0)</f>
        <v>25</v>
      </c>
    </row>
    <row r="382" spans="1:2" x14ac:dyDescent="0.2">
      <c r="A382" s="156" t="s">
        <v>535</v>
      </c>
      <c r="B382" s="126">
        <f>ROUND(B380*B381,0)</f>
        <v>0</v>
      </c>
    </row>
    <row r="383" spans="1:2" x14ac:dyDescent="0.2">
      <c r="A383" s="45" t="s">
        <v>623</v>
      </c>
      <c r="B383" s="34"/>
    </row>
    <row r="384" spans="1:2" x14ac:dyDescent="0.2">
      <c r="A384" s="155" t="s">
        <v>615</v>
      </c>
      <c r="B384" s="167">
        <v>0</v>
      </c>
    </row>
    <row r="385" spans="1:2" x14ac:dyDescent="0.2">
      <c r="A385" s="155" t="s">
        <v>616</v>
      </c>
      <c r="B385" s="171">
        <f>ROUND(45,0)</f>
        <v>45</v>
      </c>
    </row>
    <row r="386" spans="1:2" x14ac:dyDescent="0.2">
      <c r="A386" s="156" t="s">
        <v>617</v>
      </c>
      <c r="B386" s="126">
        <f>ROUND(B384*B385,0)</f>
        <v>0</v>
      </c>
    </row>
    <row r="387" spans="1:2" x14ac:dyDescent="0.2">
      <c r="A387" s="45" t="s">
        <v>624</v>
      </c>
      <c r="B387" s="34"/>
    </row>
    <row r="388" spans="1:2" x14ac:dyDescent="0.2">
      <c r="A388" s="155" t="s">
        <v>619</v>
      </c>
      <c r="B388" s="135">
        <v>0</v>
      </c>
    </row>
    <row r="389" spans="1:2" x14ac:dyDescent="0.2">
      <c r="A389" s="155" t="s">
        <v>620</v>
      </c>
      <c r="B389" s="171">
        <f>ROUND(65,0)</f>
        <v>65</v>
      </c>
    </row>
    <row r="390" spans="1:2" x14ac:dyDescent="0.2">
      <c r="A390" s="156" t="s">
        <v>621</v>
      </c>
      <c r="B390" s="126">
        <f>ROUND(B388*B389,0)</f>
        <v>0</v>
      </c>
    </row>
    <row r="391" spans="1:2" x14ac:dyDescent="0.2">
      <c r="A391" s="125" t="s">
        <v>214</v>
      </c>
      <c r="B391" s="126">
        <f>ROUND(B377+B378+B382+B386+B390,0)</f>
        <v>450</v>
      </c>
    </row>
    <row r="392" spans="1:2" x14ac:dyDescent="0.2">
      <c r="A392" s="36"/>
      <c r="B392" s="34"/>
    </row>
    <row r="393" spans="1:2" ht="12" customHeight="1" x14ac:dyDescent="0.2">
      <c r="A393" s="502" t="s">
        <v>584</v>
      </c>
      <c r="B393" s="502"/>
    </row>
    <row r="394" spans="1:2" x14ac:dyDescent="0.2">
      <c r="A394" s="123" t="s">
        <v>193</v>
      </c>
      <c r="B394" s="34"/>
    </row>
    <row r="395" spans="1:2" x14ac:dyDescent="0.2">
      <c r="A395" s="139" t="s">
        <v>219</v>
      </c>
      <c r="B395" s="171">
        <f>ROUND(150,0)</f>
        <v>150</v>
      </c>
    </row>
    <row r="396" spans="1:2" x14ac:dyDescent="0.2">
      <c r="A396" s="156" t="s">
        <v>218</v>
      </c>
      <c r="B396" s="126">
        <f>ROUND(B395*12,0)</f>
        <v>1800</v>
      </c>
    </row>
    <row r="397" spans="1:2" x14ac:dyDescent="0.2">
      <c r="A397" s="123" t="s">
        <v>194</v>
      </c>
      <c r="B397" s="34"/>
    </row>
    <row r="398" spans="1:2" x14ac:dyDescent="0.2">
      <c r="A398" s="155" t="s">
        <v>222</v>
      </c>
      <c r="B398" s="135">
        <f>B80</f>
        <v>0</v>
      </c>
    </row>
    <row r="399" spans="1:2" x14ac:dyDescent="0.2">
      <c r="A399" s="139" t="s">
        <v>220</v>
      </c>
      <c r="B399" s="171">
        <v>38</v>
      </c>
    </row>
    <row r="400" spans="1:2" x14ac:dyDescent="0.2">
      <c r="A400" s="125" t="s">
        <v>221</v>
      </c>
      <c r="B400" s="126">
        <f>ROUND(B398*B399*12,0)</f>
        <v>0</v>
      </c>
    </row>
    <row r="401" spans="1:2" x14ac:dyDescent="0.2">
      <c r="A401" s="123" t="s">
        <v>444</v>
      </c>
      <c r="B401" s="34"/>
    </row>
    <row r="402" spans="1:2" x14ac:dyDescent="0.2">
      <c r="A402" s="125" t="s">
        <v>222</v>
      </c>
      <c r="B402" s="135">
        <f>B80</f>
        <v>0</v>
      </c>
    </row>
    <row r="403" spans="1:2" x14ac:dyDescent="0.2">
      <c r="A403" s="139" t="s">
        <v>443</v>
      </c>
      <c r="B403" s="171">
        <f>ROUND(150,0)</f>
        <v>150</v>
      </c>
    </row>
    <row r="404" spans="1:2" x14ac:dyDescent="0.2">
      <c r="A404" s="125" t="s">
        <v>445</v>
      </c>
      <c r="B404" s="126">
        <f>ROUND(B402*B403,0)</f>
        <v>0</v>
      </c>
    </row>
    <row r="405" spans="1:2" x14ac:dyDescent="0.2">
      <c r="A405" s="123" t="s">
        <v>195</v>
      </c>
      <c r="B405" s="34"/>
    </row>
    <row r="406" spans="1:2" x14ac:dyDescent="0.2">
      <c r="A406" s="155" t="s">
        <v>222</v>
      </c>
      <c r="B406" s="135">
        <f>B80</f>
        <v>0</v>
      </c>
    </row>
    <row r="407" spans="1:2" x14ac:dyDescent="0.2">
      <c r="A407" s="155" t="s">
        <v>224</v>
      </c>
      <c r="B407" s="171">
        <f>ROUND(30,0)</f>
        <v>30</v>
      </c>
    </row>
    <row r="408" spans="1:2" x14ac:dyDescent="0.2">
      <c r="A408" s="125" t="s">
        <v>223</v>
      </c>
      <c r="B408" s="126">
        <f>ROUND(B406*B407*12,0)</f>
        <v>0</v>
      </c>
    </row>
    <row r="409" spans="1:2" x14ac:dyDescent="0.2">
      <c r="A409" s="123" t="s">
        <v>196</v>
      </c>
      <c r="B409" s="34"/>
    </row>
    <row r="410" spans="1:2" x14ac:dyDescent="0.2">
      <c r="A410" s="139" t="s">
        <v>230</v>
      </c>
      <c r="B410" s="169">
        <v>0.1</v>
      </c>
    </row>
    <row r="411" spans="1:2" x14ac:dyDescent="0.2">
      <c r="A411" s="139" t="s">
        <v>232</v>
      </c>
      <c r="B411" s="126">
        <f>ROUND(SUM('1 Basic Budget'!B92:B106)-'1 Basic Budget'!B120,0)</f>
        <v>188535</v>
      </c>
    </row>
    <row r="412" spans="1:2" x14ac:dyDescent="0.2">
      <c r="A412" s="125" t="s">
        <v>231</v>
      </c>
      <c r="B412" s="126">
        <f>ROUND(B411*B410,0)</f>
        <v>18854</v>
      </c>
    </row>
    <row r="413" spans="1:2" x14ac:dyDescent="0.2">
      <c r="A413" s="36"/>
      <c r="B413" s="34"/>
    </row>
    <row r="414" spans="1:2" x14ac:dyDescent="0.2">
      <c r="A414" s="502" t="s">
        <v>585</v>
      </c>
      <c r="B414" s="502"/>
    </row>
    <row r="415" spans="1:2" ht="14.25" customHeight="1" x14ac:dyDescent="0.2">
      <c r="A415" s="49" t="s">
        <v>197</v>
      </c>
    </row>
    <row r="416" spans="1:2" x14ac:dyDescent="0.2">
      <c r="A416" s="199" t="s">
        <v>113</v>
      </c>
      <c r="B416" s="67"/>
    </row>
    <row r="417" spans="1:2" x14ac:dyDescent="0.2">
      <c r="A417" s="139" t="s">
        <v>198</v>
      </c>
      <c r="B417" s="126">
        <f>B236</f>
        <v>52925</v>
      </c>
    </row>
    <row r="418" spans="1:2" x14ac:dyDescent="0.2">
      <c r="A418" s="139" t="s">
        <v>199</v>
      </c>
      <c r="B418" s="169">
        <v>0</v>
      </c>
    </row>
    <row r="419" spans="1:2" x14ac:dyDescent="0.2">
      <c r="A419" s="139" t="s">
        <v>200</v>
      </c>
      <c r="B419" s="126">
        <f>ROUND(B418*B417,0)</f>
        <v>0</v>
      </c>
    </row>
    <row r="420" spans="1:2" x14ac:dyDescent="0.2">
      <c r="A420" s="139" t="s">
        <v>205</v>
      </c>
      <c r="B420" s="126">
        <f>ROUND(B417*B260,)</f>
        <v>7939</v>
      </c>
    </row>
    <row r="421" spans="1:2" x14ac:dyDescent="0.2">
      <c r="A421" s="139" t="s">
        <v>199</v>
      </c>
      <c r="B421" s="169">
        <v>0</v>
      </c>
    </row>
    <row r="422" spans="1:2" x14ac:dyDescent="0.2">
      <c r="A422" s="139" t="s">
        <v>206</v>
      </c>
      <c r="B422" s="126">
        <f>ROUND(B421*B420,0)</f>
        <v>0</v>
      </c>
    </row>
    <row r="423" spans="1:2" x14ac:dyDescent="0.2">
      <c r="A423" s="139" t="s">
        <v>201</v>
      </c>
      <c r="B423" s="126">
        <f>ROUND(B162,0)</f>
        <v>1588</v>
      </c>
    </row>
    <row r="424" spans="1:2" x14ac:dyDescent="0.2">
      <c r="A424" s="139" t="s">
        <v>199</v>
      </c>
      <c r="B424" s="169">
        <v>0</v>
      </c>
    </row>
    <row r="425" spans="1:2" x14ac:dyDescent="0.2">
      <c r="A425" s="139" t="s">
        <v>202</v>
      </c>
      <c r="B425" s="126">
        <f>ROUND(B424*B423,0)</f>
        <v>0</v>
      </c>
    </row>
    <row r="426" spans="1:2" x14ac:dyDescent="0.2">
      <c r="A426" s="139" t="s">
        <v>203</v>
      </c>
      <c r="B426" s="126">
        <f>ROUND(B164,0)</f>
        <v>924</v>
      </c>
    </row>
    <row r="427" spans="1:2" x14ac:dyDescent="0.2">
      <c r="A427" s="139" t="s">
        <v>199</v>
      </c>
      <c r="B427" s="169">
        <v>0</v>
      </c>
    </row>
    <row r="428" spans="1:2" x14ac:dyDescent="0.2">
      <c r="A428" s="155" t="s">
        <v>204</v>
      </c>
      <c r="B428" s="126">
        <f>ROUND(B427*B426,0)</f>
        <v>0</v>
      </c>
    </row>
    <row r="429" spans="1:2" x14ac:dyDescent="0.2">
      <c r="A429" s="45" t="s">
        <v>118</v>
      </c>
    </row>
    <row r="430" spans="1:2" x14ac:dyDescent="0.2">
      <c r="A430" s="139" t="s">
        <v>198</v>
      </c>
      <c r="B430" s="126">
        <f>ROUND(B242,0)</f>
        <v>52925</v>
      </c>
    </row>
    <row r="431" spans="1:2" x14ac:dyDescent="0.2">
      <c r="A431" s="139" t="s">
        <v>199</v>
      </c>
      <c r="B431" s="169">
        <v>0</v>
      </c>
    </row>
    <row r="432" spans="1:2" x14ac:dyDescent="0.2">
      <c r="A432" s="139" t="s">
        <v>200</v>
      </c>
      <c r="B432" s="126">
        <f>ROUND(B431*B430,0)</f>
        <v>0</v>
      </c>
    </row>
    <row r="433" spans="1:2" x14ac:dyDescent="0.2">
      <c r="A433" s="139" t="s">
        <v>205</v>
      </c>
      <c r="B433" s="126">
        <f>ROUND(B430*B260,)</f>
        <v>7939</v>
      </c>
    </row>
    <row r="434" spans="1:2" x14ac:dyDescent="0.2">
      <c r="A434" s="139" t="s">
        <v>199</v>
      </c>
      <c r="B434" s="169">
        <v>0</v>
      </c>
    </row>
    <row r="435" spans="1:2" x14ac:dyDescent="0.2">
      <c r="A435" s="139" t="s">
        <v>206</v>
      </c>
      <c r="B435" s="126">
        <f>ROUND(B434*B433,0)</f>
        <v>0</v>
      </c>
    </row>
    <row r="436" spans="1:2" x14ac:dyDescent="0.2">
      <c r="A436" s="139" t="s">
        <v>201</v>
      </c>
      <c r="B436" s="126">
        <f>ROUND(B183,0)</f>
        <v>1588</v>
      </c>
    </row>
    <row r="437" spans="1:2" x14ac:dyDescent="0.2">
      <c r="A437" s="139" t="s">
        <v>199</v>
      </c>
      <c r="B437" s="169">
        <v>0</v>
      </c>
    </row>
    <row r="438" spans="1:2" x14ac:dyDescent="0.2">
      <c r="A438" s="139" t="s">
        <v>202</v>
      </c>
      <c r="B438" s="126">
        <f>ROUND(B437*B436,0)</f>
        <v>0</v>
      </c>
    </row>
    <row r="439" spans="1:2" x14ac:dyDescent="0.2">
      <c r="A439" s="139" t="s">
        <v>203</v>
      </c>
      <c r="B439" s="126">
        <f>ROUND(B185,0)</f>
        <v>924</v>
      </c>
    </row>
    <row r="440" spans="1:2" x14ac:dyDescent="0.2">
      <c r="A440" s="139" t="s">
        <v>199</v>
      </c>
      <c r="B440" s="169">
        <v>0</v>
      </c>
    </row>
    <row r="441" spans="1:2" x14ac:dyDescent="0.2">
      <c r="A441" s="155" t="s">
        <v>204</v>
      </c>
      <c r="B441" s="126">
        <f>ROUND(B440*B439,0)</f>
        <v>0</v>
      </c>
    </row>
    <row r="442" spans="1:2" x14ac:dyDescent="0.2">
      <c r="A442" s="36"/>
      <c r="B442" s="34"/>
    </row>
    <row r="443" spans="1:2" ht="12" customHeight="1" x14ac:dyDescent="0.2">
      <c r="A443" s="502" t="s">
        <v>586</v>
      </c>
      <c r="B443" s="502"/>
    </row>
    <row r="444" spans="1:2" x14ac:dyDescent="0.2">
      <c r="A444" s="139" t="s">
        <v>198</v>
      </c>
      <c r="B444" s="126">
        <f>ROUND(B248,0)</f>
        <v>0</v>
      </c>
    </row>
    <row r="445" spans="1:2" x14ac:dyDescent="0.2">
      <c r="A445" s="139" t="s">
        <v>199</v>
      </c>
      <c r="B445" s="169">
        <v>0</v>
      </c>
    </row>
    <row r="446" spans="1:2" x14ac:dyDescent="0.2">
      <c r="A446" s="139" t="s">
        <v>200</v>
      </c>
      <c r="B446" s="126">
        <f>ROUND(B445*B444,0)</f>
        <v>0</v>
      </c>
    </row>
    <row r="447" spans="1:2" x14ac:dyDescent="0.2">
      <c r="A447" s="139" t="s">
        <v>205</v>
      </c>
      <c r="B447" s="126">
        <f>ROUND(B444*B260,)</f>
        <v>0</v>
      </c>
    </row>
    <row r="448" spans="1:2" x14ac:dyDescent="0.2">
      <c r="A448" s="139" t="s">
        <v>199</v>
      </c>
      <c r="B448" s="169">
        <v>0</v>
      </c>
    </row>
    <row r="449" spans="1:2" x14ac:dyDescent="0.2">
      <c r="A449" s="139" t="s">
        <v>206</v>
      </c>
      <c r="B449" s="126">
        <f>ROUND(B448*B447,0)</f>
        <v>0</v>
      </c>
    </row>
    <row r="450" spans="1:2" x14ac:dyDescent="0.2">
      <c r="A450" s="139" t="s">
        <v>201</v>
      </c>
      <c r="B450" s="126">
        <f>ROUND(B205,0)</f>
        <v>0</v>
      </c>
    </row>
    <row r="451" spans="1:2" x14ac:dyDescent="0.2">
      <c r="A451" s="139" t="s">
        <v>199</v>
      </c>
      <c r="B451" s="169">
        <v>0</v>
      </c>
    </row>
    <row r="452" spans="1:2" x14ac:dyDescent="0.2">
      <c r="A452" s="139" t="s">
        <v>202</v>
      </c>
      <c r="B452" s="126">
        <f>ROUND(B451*B450,0)</f>
        <v>0</v>
      </c>
    </row>
    <row r="453" spans="1:2" x14ac:dyDescent="0.2">
      <c r="A453" s="139" t="s">
        <v>203</v>
      </c>
      <c r="B453" s="126">
        <f>ROUND(B207,0)</f>
        <v>0</v>
      </c>
    </row>
    <row r="454" spans="1:2" x14ac:dyDescent="0.2">
      <c r="A454" s="139" t="s">
        <v>199</v>
      </c>
      <c r="B454" s="169">
        <v>0</v>
      </c>
    </row>
    <row r="455" spans="1:2" x14ac:dyDescent="0.2">
      <c r="A455" s="155" t="s">
        <v>204</v>
      </c>
      <c r="B455" s="126">
        <f>ROUND(B454*B453,0)</f>
        <v>0</v>
      </c>
    </row>
    <row r="456" spans="1:2" x14ac:dyDescent="0.2">
      <c r="A456" s="45" t="s">
        <v>120</v>
      </c>
    </row>
    <row r="457" spans="1:2" x14ac:dyDescent="0.2">
      <c r="A457" s="139" t="s">
        <v>198</v>
      </c>
      <c r="B457" s="126">
        <f>ROUND(B257,0)</f>
        <v>0</v>
      </c>
    </row>
    <row r="458" spans="1:2" x14ac:dyDescent="0.2">
      <c r="A458" s="139" t="s">
        <v>199</v>
      </c>
      <c r="B458" s="169">
        <v>0</v>
      </c>
    </row>
    <row r="459" spans="1:2" x14ac:dyDescent="0.2">
      <c r="A459" s="139" t="s">
        <v>200</v>
      </c>
      <c r="B459" s="126">
        <f>ROUND(B458*B457,0)</f>
        <v>0</v>
      </c>
    </row>
    <row r="460" spans="1:2" x14ac:dyDescent="0.2">
      <c r="A460" s="139" t="s">
        <v>205</v>
      </c>
      <c r="B460" s="126">
        <f>ROUND(B457*B260,)</f>
        <v>0</v>
      </c>
    </row>
    <row r="461" spans="1:2" x14ac:dyDescent="0.2">
      <c r="A461" s="139" t="s">
        <v>199</v>
      </c>
      <c r="B461" s="169">
        <v>0</v>
      </c>
    </row>
    <row r="462" spans="1:2" x14ac:dyDescent="0.2">
      <c r="A462" s="139" t="s">
        <v>206</v>
      </c>
      <c r="B462" s="126">
        <f>ROUND(B461*B460,0)</f>
        <v>0</v>
      </c>
    </row>
    <row r="463" spans="1:2" x14ac:dyDescent="0.2">
      <c r="A463" s="139" t="s">
        <v>201</v>
      </c>
      <c r="B463" s="126">
        <f>ROUND(B226,0)</f>
        <v>0</v>
      </c>
    </row>
    <row r="464" spans="1:2" x14ac:dyDescent="0.2">
      <c r="A464" s="139" t="s">
        <v>199</v>
      </c>
      <c r="B464" s="169">
        <v>0</v>
      </c>
    </row>
    <row r="465" spans="1:3" x14ac:dyDescent="0.2">
      <c r="A465" s="139" t="s">
        <v>202</v>
      </c>
      <c r="B465" s="126">
        <f>ROUND(B464*B463,0)</f>
        <v>0</v>
      </c>
    </row>
    <row r="466" spans="1:3" x14ac:dyDescent="0.2">
      <c r="A466" s="139" t="s">
        <v>203</v>
      </c>
      <c r="B466" s="126">
        <f>ROUND(B228,0)</f>
        <v>0</v>
      </c>
    </row>
    <row r="467" spans="1:3" x14ac:dyDescent="0.2">
      <c r="A467" s="139" t="s">
        <v>199</v>
      </c>
      <c r="B467" s="169">
        <v>0</v>
      </c>
    </row>
    <row r="468" spans="1:3" x14ac:dyDescent="0.2">
      <c r="A468" s="155" t="s">
        <v>204</v>
      </c>
      <c r="B468" s="126">
        <f>ROUND(B467*B466,0)</f>
        <v>0</v>
      </c>
    </row>
    <row r="469" spans="1:3" x14ac:dyDescent="0.2">
      <c r="A469" s="36"/>
      <c r="B469" s="34"/>
    </row>
    <row r="470" spans="1:3" ht="12" customHeight="1" x14ac:dyDescent="0.2">
      <c r="A470" s="502" t="s">
        <v>587</v>
      </c>
      <c r="B470" s="502"/>
    </row>
    <row r="471" spans="1:3" x14ac:dyDescent="0.2">
      <c r="A471" s="123" t="s">
        <v>225</v>
      </c>
    </row>
    <row r="472" spans="1:3" x14ac:dyDescent="0.2">
      <c r="A472" s="139" t="s">
        <v>132</v>
      </c>
      <c r="B472" s="137">
        <f>ROUND(B260,3)</f>
        <v>0.15</v>
      </c>
    </row>
    <row r="473" spans="1:3" x14ac:dyDescent="0.2">
      <c r="A473" s="139" t="s">
        <v>137</v>
      </c>
      <c r="B473" s="126">
        <f>ROUND((B422+B435),1)</f>
        <v>0</v>
      </c>
    </row>
    <row r="474" spans="1:3" x14ac:dyDescent="0.2">
      <c r="A474" s="139" t="s">
        <v>141</v>
      </c>
      <c r="B474" s="126">
        <f>ROUND((B449+B462),1)</f>
        <v>0</v>
      </c>
    </row>
    <row r="475" spans="1:3" x14ac:dyDescent="0.2">
      <c r="A475" s="154" t="s">
        <v>133</v>
      </c>
      <c r="B475" s="126">
        <f>SUM(B473:B474)</f>
        <v>0</v>
      </c>
    </row>
    <row r="476" spans="1:3" x14ac:dyDescent="0.2">
      <c r="A476" s="154" t="s">
        <v>142</v>
      </c>
      <c r="B476" s="126">
        <f>ROUND((B419+B432+B446+B459)*B472,1)</f>
        <v>0</v>
      </c>
    </row>
    <row r="477" spans="1:3" x14ac:dyDescent="0.2">
      <c r="A477" s="125" t="s">
        <v>29</v>
      </c>
      <c r="B477" s="135">
        <f>ROUND(B475-B476,1)</f>
        <v>0</v>
      </c>
      <c r="C477" s="29"/>
    </row>
    <row r="478" spans="1:3" x14ac:dyDescent="0.2">
      <c r="A478" s="470" t="s">
        <v>234</v>
      </c>
    </row>
    <row r="479" spans="1:3" x14ac:dyDescent="0.2">
      <c r="A479" s="139" t="s">
        <v>135</v>
      </c>
      <c r="B479" s="126">
        <f>ROUND(B419+B432,0)</f>
        <v>0</v>
      </c>
    </row>
    <row r="480" spans="1:3" x14ac:dyDescent="0.2">
      <c r="A480" s="139" t="s">
        <v>136</v>
      </c>
      <c r="B480" s="126">
        <f>B425+B438</f>
        <v>0</v>
      </c>
    </row>
    <row r="481" spans="1:2" x14ac:dyDescent="0.2">
      <c r="A481" s="139" t="s">
        <v>137</v>
      </c>
      <c r="B481" s="126">
        <f>ROUND(B422+B435,0)</f>
        <v>0</v>
      </c>
    </row>
    <row r="482" spans="1:2" x14ac:dyDescent="0.2">
      <c r="A482" s="125" t="s">
        <v>226</v>
      </c>
      <c r="B482" s="126">
        <f>SUM(B479:B481)</f>
        <v>0</v>
      </c>
    </row>
    <row r="483" spans="1:2" x14ac:dyDescent="0.2">
      <c r="A483" s="470" t="s">
        <v>235</v>
      </c>
      <c r="B483" s="34"/>
    </row>
    <row r="484" spans="1:2" x14ac:dyDescent="0.2">
      <c r="A484" s="139" t="s">
        <v>138</v>
      </c>
      <c r="B484" s="126">
        <f>ROUND(B446+B459,1)</f>
        <v>0</v>
      </c>
    </row>
    <row r="485" spans="1:2" x14ac:dyDescent="0.2">
      <c r="A485" s="139" t="s">
        <v>139</v>
      </c>
      <c r="B485" s="126">
        <f>ROUND(B452+B465,1)</f>
        <v>0</v>
      </c>
    </row>
    <row r="486" spans="1:2" x14ac:dyDescent="0.2">
      <c r="A486" s="139" t="s">
        <v>141</v>
      </c>
      <c r="B486" s="126">
        <f>ROUND(B449+B462,0)</f>
        <v>0</v>
      </c>
    </row>
    <row r="487" spans="1:2" x14ac:dyDescent="0.2">
      <c r="A487" s="125" t="s">
        <v>140</v>
      </c>
      <c r="B487" s="126">
        <f>ROUND(SUM(B484:B486),0)</f>
        <v>0</v>
      </c>
    </row>
    <row r="488" spans="1:2" x14ac:dyDescent="0.2">
      <c r="A488" s="123" t="s">
        <v>494</v>
      </c>
      <c r="B488" s="34"/>
    </row>
    <row r="489" spans="1:2" x14ac:dyDescent="0.2">
      <c r="A489" s="199" t="s">
        <v>88</v>
      </c>
      <c r="B489" s="212"/>
    </row>
    <row r="490" spans="1:2" x14ac:dyDescent="0.2">
      <c r="A490" s="139" t="s">
        <v>500</v>
      </c>
      <c r="B490" s="146">
        <f>B278</f>
        <v>0</v>
      </c>
    </row>
    <row r="491" spans="1:2" x14ac:dyDescent="0.2">
      <c r="A491" s="139" t="s">
        <v>199</v>
      </c>
      <c r="B491" s="169">
        <v>0</v>
      </c>
    </row>
    <row r="492" spans="1:2" x14ac:dyDescent="0.2">
      <c r="A492" s="139" t="s">
        <v>495</v>
      </c>
      <c r="B492" s="146">
        <f>ROUND(B490*B491,0)</f>
        <v>0</v>
      </c>
    </row>
    <row r="493" spans="1:2" x14ac:dyDescent="0.2">
      <c r="A493" s="36" t="s">
        <v>55</v>
      </c>
      <c r="B493" s="65"/>
    </row>
    <row r="494" spans="1:2" x14ac:dyDescent="0.2">
      <c r="A494" s="199" t="s">
        <v>90</v>
      </c>
      <c r="B494" s="212"/>
    </row>
    <row r="495" spans="1:2" x14ac:dyDescent="0.2">
      <c r="A495" s="139" t="s">
        <v>501</v>
      </c>
      <c r="B495" s="146">
        <f>B285</f>
        <v>4025</v>
      </c>
    </row>
    <row r="496" spans="1:2" x14ac:dyDescent="0.2">
      <c r="A496" s="139" t="s">
        <v>199</v>
      </c>
      <c r="B496" s="169">
        <v>0</v>
      </c>
    </row>
    <row r="497" spans="1:2" x14ac:dyDescent="0.2">
      <c r="A497" s="139" t="s">
        <v>496</v>
      </c>
      <c r="B497" s="146">
        <f>ROUND(B495*B496,0)</f>
        <v>0</v>
      </c>
    </row>
    <row r="498" spans="1:2" x14ac:dyDescent="0.2">
      <c r="A498" s="125" t="s">
        <v>502</v>
      </c>
      <c r="B498" s="146">
        <f>ROUND(B497+B492,0)</f>
        <v>0</v>
      </c>
    </row>
    <row r="499" spans="1:2" x14ac:dyDescent="0.2">
      <c r="A499" s="36"/>
      <c r="B499" s="34"/>
    </row>
    <row r="500" spans="1:2" x14ac:dyDescent="0.2">
      <c r="A500" s="502" t="s">
        <v>588</v>
      </c>
      <c r="B500" s="502"/>
    </row>
    <row r="501" spans="1:2" x14ac:dyDescent="0.2">
      <c r="A501" s="470" t="s">
        <v>236</v>
      </c>
      <c r="B501" s="34"/>
    </row>
    <row r="502" spans="1:2" x14ac:dyDescent="0.2">
      <c r="A502" s="155" t="s">
        <v>154</v>
      </c>
      <c r="B502" s="126">
        <f>ROUND(B479+B484,0)</f>
        <v>0</v>
      </c>
    </row>
    <row r="503" spans="1:2" x14ac:dyDescent="0.2">
      <c r="A503" s="155" t="s">
        <v>156</v>
      </c>
      <c r="B503" s="126">
        <f>ROUND(B480+B485,0)</f>
        <v>0</v>
      </c>
    </row>
    <row r="504" spans="1:2" x14ac:dyDescent="0.2">
      <c r="A504" s="139" t="s">
        <v>157</v>
      </c>
      <c r="B504" s="126">
        <f>ROUND(B481+B486,0)</f>
        <v>0</v>
      </c>
    </row>
    <row r="505" spans="1:2" x14ac:dyDescent="0.2">
      <c r="A505" s="125" t="s">
        <v>158</v>
      </c>
      <c r="B505" s="126">
        <f>SUM(B502:B504)</f>
        <v>0</v>
      </c>
    </row>
    <row r="506" spans="1:2" x14ac:dyDescent="0.2">
      <c r="A506" s="127" t="s">
        <v>503</v>
      </c>
      <c r="B506" s="126">
        <f>ROUND(B498+B505,0)</f>
        <v>0</v>
      </c>
    </row>
    <row r="507" spans="1:2" x14ac:dyDescent="0.2">
      <c r="A507" s="470" t="str">
        <f>'1 Basic Budget'!A87</f>
        <v>LABOR-TOTALS</v>
      </c>
      <c r="B507" s="34"/>
    </row>
    <row r="508" spans="1:2" x14ac:dyDescent="0.2">
      <c r="A508" s="139" t="str">
        <f>'1 Basic Budget'!A88</f>
        <v>Crews Total On-Call Pay</v>
      </c>
      <c r="B508" s="126">
        <f>'1 Basic Budget'!B88</f>
        <v>0</v>
      </c>
    </row>
    <row r="509" spans="1:2" x14ac:dyDescent="0.2">
      <c r="A509" s="155" t="str">
        <f>'1 Basic Budget'!A89</f>
        <v>Crews Total Regular Pay</v>
      </c>
      <c r="B509" s="126">
        <f>'1 Basic Budget'!B89</f>
        <v>105850</v>
      </c>
    </row>
    <row r="510" spans="1:2" x14ac:dyDescent="0.2">
      <c r="A510" s="155" t="str">
        <f>'1 Basic Budget'!A90</f>
        <v>Crews Total Overtime Pay</v>
      </c>
      <c r="B510" s="126">
        <f>'1 Basic Budget'!B90</f>
        <v>5024</v>
      </c>
    </row>
    <row r="511" spans="1:2" x14ac:dyDescent="0.2">
      <c r="A511" s="139" t="str">
        <f>'1 Basic Budget'!A91</f>
        <v>Crews Total Benefits</v>
      </c>
      <c r="B511" s="126">
        <f>'1 Basic Budget'!B91</f>
        <v>15877.5</v>
      </c>
    </row>
    <row r="512" spans="1:2" x14ac:dyDescent="0.2">
      <c r="A512" s="125" t="str">
        <f>'1 Basic Budget'!A92</f>
        <v>Crews Total Labor</v>
      </c>
      <c r="B512" s="126">
        <f>'1 Basic Budget'!B92</f>
        <v>126752</v>
      </c>
    </row>
    <row r="513" spans="1:2" x14ac:dyDescent="0.2">
      <c r="A513" s="489" t="s">
        <v>629</v>
      </c>
      <c r="B513" s="171">
        <f>800*12</f>
        <v>9600</v>
      </c>
    </row>
    <row r="514" spans="1:2" x14ac:dyDescent="0.2">
      <c r="A514" s="489" t="s">
        <v>631</v>
      </c>
      <c r="B514" s="171">
        <f>1100*12</f>
        <v>13200</v>
      </c>
    </row>
    <row r="515" spans="1:2" x14ac:dyDescent="0.2">
      <c r="A515" s="489" t="s">
        <v>630</v>
      </c>
      <c r="B515" s="171">
        <v>8500</v>
      </c>
    </row>
    <row r="516" spans="1:2" x14ac:dyDescent="0.2">
      <c r="A516" s="489"/>
      <c r="B516" s="171"/>
    </row>
    <row r="517" spans="1:2" x14ac:dyDescent="0.2">
      <c r="A517" s="489"/>
      <c r="B517" s="171"/>
    </row>
    <row r="518" spans="1:2" x14ac:dyDescent="0.2">
      <c r="A518" s="489"/>
      <c r="B518" s="171"/>
    </row>
    <row r="519" spans="1:2" x14ac:dyDescent="0.2">
      <c r="A519" s="489"/>
      <c r="B519" s="171"/>
    </row>
    <row r="520" spans="1:2" x14ac:dyDescent="0.2">
      <c r="A520" s="489"/>
      <c r="B520" s="171"/>
    </row>
    <row r="521" spans="1:2" x14ac:dyDescent="0.2">
      <c r="A521" s="125"/>
      <c r="B521" s="126"/>
    </row>
    <row r="522" spans="1:2" x14ac:dyDescent="0.2">
      <c r="A522" s="140"/>
      <c r="B522" s="143"/>
    </row>
    <row r="523" spans="1:2" s="38" customFormat="1" x14ac:dyDescent="0.2"/>
    <row r="524" spans="1:2" x14ac:dyDescent="0.2">
      <c r="A524" s="502" t="s">
        <v>589</v>
      </c>
      <c r="B524" s="502"/>
    </row>
    <row r="525" spans="1:2" x14ac:dyDescent="0.2">
      <c r="A525" s="125" t="s">
        <v>125</v>
      </c>
      <c r="B525" s="169">
        <v>1</v>
      </c>
    </row>
    <row r="526" spans="1:2" x14ac:dyDescent="0.2">
      <c r="A526" s="127" t="s">
        <v>124</v>
      </c>
      <c r="B526" s="135">
        <f>ROUND(B525*B31,1)</f>
        <v>15314</v>
      </c>
    </row>
    <row r="527" spans="1:2" x14ac:dyDescent="0.2">
      <c r="A527" s="125" t="s">
        <v>656</v>
      </c>
      <c r="B527" s="169">
        <v>0</v>
      </c>
    </row>
    <row r="528" spans="1:2" x14ac:dyDescent="0.2">
      <c r="A528" s="125" t="s">
        <v>657</v>
      </c>
      <c r="B528" s="135">
        <f>ROUND(B527*B31,1)</f>
        <v>0</v>
      </c>
    </row>
    <row r="529" spans="1:3" x14ac:dyDescent="0.2">
      <c r="A529" s="125"/>
      <c r="B529" s="169"/>
    </row>
    <row r="530" spans="1:3" x14ac:dyDescent="0.2">
      <c r="A530" s="125"/>
      <c r="B530" s="135"/>
    </row>
    <row r="531" spans="1:3" x14ac:dyDescent="0.2">
      <c r="A531" s="125" t="s">
        <v>73</v>
      </c>
      <c r="B531" s="135">
        <f>B526+B528+B530</f>
        <v>15314</v>
      </c>
    </row>
    <row r="532" spans="1:3" x14ac:dyDescent="0.2">
      <c r="A532" s="125" t="s">
        <v>29</v>
      </c>
      <c r="B532" s="135">
        <f>B31-B531</f>
        <v>0</v>
      </c>
      <c r="C532" s="29"/>
    </row>
    <row r="533" spans="1:3" x14ac:dyDescent="0.2">
      <c r="B533" s="29"/>
    </row>
    <row r="534" spans="1:3" x14ac:dyDescent="0.2">
      <c r="A534" s="125" t="s">
        <v>70</v>
      </c>
      <c r="B534" s="169">
        <v>1</v>
      </c>
    </row>
    <row r="535" spans="1:3" x14ac:dyDescent="0.2">
      <c r="A535" s="125" t="s">
        <v>71</v>
      </c>
      <c r="B535" s="135">
        <f>ROUND(B534*B34,1)</f>
        <v>7044</v>
      </c>
    </row>
    <row r="536" spans="1:3" x14ac:dyDescent="0.2">
      <c r="A536" s="125" t="s">
        <v>659</v>
      </c>
      <c r="B536" s="169">
        <v>0</v>
      </c>
    </row>
    <row r="537" spans="1:3" x14ac:dyDescent="0.2">
      <c r="A537" s="125" t="s">
        <v>658</v>
      </c>
      <c r="B537" s="135">
        <f>ROUND(B536*B525,1)</f>
        <v>0</v>
      </c>
    </row>
    <row r="538" spans="1:3" x14ac:dyDescent="0.2">
      <c r="A538" s="125"/>
      <c r="B538" s="169"/>
    </row>
    <row r="539" spans="1:3" x14ac:dyDescent="0.2">
      <c r="A539" s="125"/>
      <c r="B539" s="135"/>
    </row>
    <row r="540" spans="1:3" x14ac:dyDescent="0.2">
      <c r="A540" s="125" t="s">
        <v>72</v>
      </c>
      <c r="B540" s="135">
        <f>ROUND(B539*B528,1)</f>
        <v>0</v>
      </c>
    </row>
    <row r="541" spans="1:3" x14ac:dyDescent="0.2">
      <c r="A541" s="125" t="s">
        <v>29</v>
      </c>
      <c r="B541" s="135">
        <f>ROUND(B540*B529,1)</f>
        <v>0</v>
      </c>
      <c r="C541" s="29"/>
    </row>
    <row r="543" spans="1:3" x14ac:dyDescent="0.2">
      <c r="A543" s="213" t="s">
        <v>402</v>
      </c>
      <c r="B543" s="173">
        <v>0.95399999999999996</v>
      </c>
    </row>
    <row r="544" spans="1:3" x14ac:dyDescent="0.2">
      <c r="A544" s="125" t="s">
        <v>403</v>
      </c>
      <c r="B544" s="171">
        <v>400</v>
      </c>
    </row>
    <row r="545" spans="1:2" x14ac:dyDescent="0.2">
      <c r="A545" s="139" t="s">
        <v>264</v>
      </c>
      <c r="B545" s="230">
        <v>1</v>
      </c>
    </row>
    <row r="546" spans="1:2" x14ac:dyDescent="0.2">
      <c r="A546" s="139" t="s">
        <v>246</v>
      </c>
      <c r="B546" s="230">
        <v>1.6</v>
      </c>
    </row>
    <row r="547" spans="1:2" x14ac:dyDescent="0.2">
      <c r="A547" s="139" t="s">
        <v>660</v>
      </c>
      <c r="B547" s="230">
        <v>1.2</v>
      </c>
    </row>
    <row r="548" spans="1:2" x14ac:dyDescent="0.2">
      <c r="A548" s="139" t="s">
        <v>661</v>
      </c>
      <c r="B548" s="230">
        <v>1.9</v>
      </c>
    </row>
    <row r="549" spans="1:2" x14ac:dyDescent="0.2">
      <c r="A549" s="139"/>
      <c r="B549" s="230"/>
    </row>
    <row r="550" spans="1:2" x14ac:dyDescent="0.2">
      <c r="A550" s="139"/>
      <c r="B550" s="230"/>
    </row>
    <row r="552" spans="1:2" x14ac:dyDescent="0.2">
      <c r="A552" s="67" t="s">
        <v>247</v>
      </c>
      <c r="B552" s="67" t="s">
        <v>406</v>
      </c>
    </row>
    <row r="553" spans="1:2" x14ac:dyDescent="0.2">
      <c r="A553" s="155" t="s">
        <v>263</v>
      </c>
      <c r="B553" s="126">
        <f>ROUND((B545*(0.3+(0.7*B543)))*B544*1.03,0)</f>
        <v>399</v>
      </c>
    </row>
    <row r="554" spans="1:2" x14ac:dyDescent="0.2">
      <c r="A554" s="155" t="s">
        <v>245</v>
      </c>
      <c r="B554" s="126">
        <f>ROUND((B546*(0.3+(0.7*B543)))*B544*1.03,0)</f>
        <v>638</v>
      </c>
    </row>
    <row r="555" spans="1:2" x14ac:dyDescent="0.2">
      <c r="A555" s="155" t="s">
        <v>662</v>
      </c>
      <c r="B555" s="126">
        <f>ROUND((B547*(0.3+(0.7*B543)))*B544*1.03,0)</f>
        <v>478</v>
      </c>
    </row>
    <row r="556" spans="1:2" x14ac:dyDescent="0.2">
      <c r="A556" s="155" t="s">
        <v>663</v>
      </c>
      <c r="B556" s="126">
        <f>ROUND((B548*(0.3+(0.7*B543)))*B544*1.03,0)</f>
        <v>758</v>
      </c>
    </row>
    <row r="557" spans="1:2" x14ac:dyDescent="0.2">
      <c r="A557" s="155"/>
      <c r="B557" s="126"/>
    </row>
    <row r="558" spans="1:2" x14ac:dyDescent="0.2">
      <c r="A558" s="155"/>
      <c r="B558" s="126"/>
    </row>
    <row r="559" spans="1:2" s="38" customFormat="1" x14ac:dyDescent="0.2"/>
    <row r="560" spans="1:2" x14ac:dyDescent="0.2">
      <c r="A560" s="502" t="s">
        <v>590</v>
      </c>
      <c r="B560" s="502"/>
    </row>
    <row r="561" spans="1:3" x14ac:dyDescent="0.2">
      <c r="A561" s="67" t="s">
        <v>248</v>
      </c>
      <c r="B561" s="67"/>
    </row>
    <row r="562" spans="1:3" x14ac:dyDescent="0.2">
      <c r="A562" s="155" t="s">
        <v>263</v>
      </c>
      <c r="B562" s="126">
        <f>ROUND(B553*B21,0)</f>
        <v>98473</v>
      </c>
      <c r="C562" s="34"/>
    </row>
    <row r="563" spans="1:3" x14ac:dyDescent="0.2">
      <c r="A563" s="155" t="s">
        <v>245</v>
      </c>
      <c r="B563" s="126">
        <f>ROUND(B554*B22,0)</f>
        <v>52507</v>
      </c>
      <c r="C563" s="34"/>
    </row>
    <row r="564" spans="1:3" x14ac:dyDescent="0.2">
      <c r="A564" s="155" t="s">
        <v>662</v>
      </c>
      <c r="B564" s="126">
        <f>ROUND(B555*B23,0)</f>
        <v>0</v>
      </c>
      <c r="C564" s="34"/>
    </row>
    <row r="565" spans="1:3" x14ac:dyDescent="0.2">
      <c r="A565" s="155" t="s">
        <v>663</v>
      </c>
      <c r="B565" s="126">
        <f>ROUND(B556*B24,0)</f>
        <v>0</v>
      </c>
      <c r="C565" s="34"/>
    </row>
    <row r="566" spans="1:3" x14ac:dyDescent="0.2">
      <c r="A566" s="155"/>
      <c r="B566" s="126"/>
      <c r="C566" s="34"/>
    </row>
    <row r="567" spans="1:3" x14ac:dyDescent="0.2">
      <c r="A567" s="155"/>
      <c r="B567" s="126"/>
      <c r="C567" s="34"/>
    </row>
    <row r="568" spans="1:3" x14ac:dyDescent="0.2">
      <c r="A568" s="125" t="s">
        <v>248</v>
      </c>
      <c r="B568" s="126">
        <f>SUBTOTAL(9,B562:B567)</f>
        <v>150980</v>
      </c>
      <c r="C568" s="34"/>
    </row>
    <row r="570" spans="1:3" x14ac:dyDescent="0.2">
      <c r="A570" s="125" t="s">
        <v>381</v>
      </c>
      <c r="B570" s="200">
        <v>0.7</v>
      </c>
    </row>
    <row r="571" spans="1:3" x14ac:dyDescent="0.2">
      <c r="A571" s="155" t="s">
        <v>263</v>
      </c>
      <c r="B571" s="126">
        <f>ROUND(B562*B570,0)</f>
        <v>68931</v>
      </c>
      <c r="C571" s="34"/>
    </row>
    <row r="572" spans="1:3" x14ac:dyDescent="0.2">
      <c r="A572" s="155" t="s">
        <v>245</v>
      </c>
      <c r="B572" s="126">
        <f>ROUND(B563*B570,0)</f>
        <v>36755</v>
      </c>
      <c r="C572" s="34"/>
    </row>
    <row r="573" spans="1:3" x14ac:dyDescent="0.2">
      <c r="A573" s="155" t="s">
        <v>662</v>
      </c>
      <c r="B573" s="126">
        <f>ROUND(B564*B570,0)</f>
        <v>0</v>
      </c>
      <c r="C573" s="34"/>
    </row>
    <row r="574" spans="1:3" x14ac:dyDescent="0.2">
      <c r="A574" s="155" t="s">
        <v>663</v>
      </c>
      <c r="B574" s="126">
        <f>ROUND(B565*B570,0)</f>
        <v>0</v>
      </c>
      <c r="C574" s="34"/>
    </row>
    <row r="575" spans="1:3" x14ac:dyDescent="0.2">
      <c r="A575" s="155"/>
      <c r="B575" s="126"/>
      <c r="C575" s="34"/>
    </row>
    <row r="576" spans="1:3" x14ac:dyDescent="0.2">
      <c r="A576" s="155"/>
      <c r="B576" s="126"/>
      <c r="C576" s="34"/>
    </row>
    <row r="577" spans="1:3" x14ac:dyDescent="0.2">
      <c r="A577" s="125" t="s">
        <v>248</v>
      </c>
      <c r="B577" s="126">
        <f>SUBTOTAL(9,B571:B576)</f>
        <v>105686</v>
      </c>
      <c r="C577" s="34"/>
    </row>
    <row r="578" spans="1:3" x14ac:dyDescent="0.2">
      <c r="B578" s="34"/>
      <c r="C578" s="34"/>
    </row>
    <row r="579" spans="1:3" x14ac:dyDescent="0.2">
      <c r="A579" s="67" t="s">
        <v>408</v>
      </c>
      <c r="B579" s="67"/>
    </row>
    <row r="580" spans="1:3" x14ac:dyDescent="0.2">
      <c r="A580" s="125" t="s">
        <v>254</v>
      </c>
      <c r="B580" s="206">
        <v>7.5</v>
      </c>
    </row>
    <row r="581" spans="1:3" x14ac:dyDescent="0.2">
      <c r="A581" s="125" t="s">
        <v>255</v>
      </c>
      <c r="B581" s="206">
        <v>5</v>
      </c>
    </row>
    <row r="582" spans="1:3" x14ac:dyDescent="0.2">
      <c r="B582" s="50"/>
    </row>
    <row r="583" spans="1:3" x14ac:dyDescent="0.2">
      <c r="A583" s="127" t="s">
        <v>407</v>
      </c>
      <c r="B583" s="214">
        <v>1.03</v>
      </c>
    </row>
    <row r="584" spans="1:3" x14ac:dyDescent="0.2">
      <c r="A584" s="125" t="s">
        <v>278</v>
      </c>
      <c r="B584" s="216">
        <f>ROUND(B580*B583,2)</f>
        <v>7.73</v>
      </c>
    </row>
    <row r="585" spans="1:3" x14ac:dyDescent="0.2">
      <c r="A585" s="125" t="s">
        <v>279</v>
      </c>
      <c r="B585" s="216">
        <f>ROUND(B581*B583,2)</f>
        <v>5.15</v>
      </c>
    </row>
    <row r="586" spans="1:3" x14ac:dyDescent="0.2">
      <c r="A586" s="67"/>
      <c r="B586" s="67"/>
    </row>
    <row r="587" spans="1:3" x14ac:dyDescent="0.2">
      <c r="A587" s="472" t="s">
        <v>253</v>
      </c>
    </row>
    <row r="588" spans="1:3" x14ac:dyDescent="0.2">
      <c r="A588" s="139" t="s">
        <v>256</v>
      </c>
      <c r="B588" s="135">
        <f>B19</f>
        <v>329</v>
      </c>
    </row>
    <row r="589" spans="1:3" x14ac:dyDescent="0.2">
      <c r="A589" s="139" t="s">
        <v>257</v>
      </c>
      <c r="B589" s="128">
        <f>ROUND(B32,0)</f>
        <v>35</v>
      </c>
    </row>
    <row r="590" spans="1:3" x14ac:dyDescent="0.2">
      <c r="A590" s="139" t="s">
        <v>404</v>
      </c>
      <c r="B590" s="126">
        <f>ROUND(B584*17,0)</f>
        <v>131</v>
      </c>
    </row>
    <row r="591" spans="1:3" x14ac:dyDescent="0.2">
      <c r="A591" s="139" t="s">
        <v>258</v>
      </c>
      <c r="B591" s="126">
        <f>ROUND(B585*(B589-17),0)</f>
        <v>93</v>
      </c>
    </row>
    <row r="592" spans="1:3" x14ac:dyDescent="0.2">
      <c r="A592" s="125" t="s">
        <v>259</v>
      </c>
      <c r="B592" s="126">
        <f>ROUND(B588*B590*B570,0)</f>
        <v>30169</v>
      </c>
    </row>
    <row r="593" spans="1:3" x14ac:dyDescent="0.2">
      <c r="A593" s="125" t="s">
        <v>405</v>
      </c>
      <c r="B593" s="126">
        <f>ROUND(B588*B591*B570,0)</f>
        <v>21418</v>
      </c>
    </row>
    <row r="594" spans="1:3" s="38" customFormat="1" x14ac:dyDescent="0.2"/>
    <row r="595" spans="1:3" x14ac:dyDescent="0.2">
      <c r="A595" s="502" t="s">
        <v>591</v>
      </c>
      <c r="B595" s="502"/>
    </row>
    <row r="596" spans="1:3" x14ac:dyDescent="0.2">
      <c r="A596" s="67" t="s">
        <v>268</v>
      </c>
      <c r="B596" s="67"/>
    </row>
    <row r="597" spans="1:3" x14ac:dyDescent="0.2">
      <c r="A597" s="139" t="s">
        <v>400</v>
      </c>
      <c r="B597" s="171">
        <v>0</v>
      </c>
      <c r="C597" s="34"/>
    </row>
    <row r="598" spans="1:3" x14ac:dyDescent="0.2">
      <c r="A598" s="139" t="s">
        <v>401</v>
      </c>
      <c r="B598" s="171">
        <v>53482</v>
      </c>
      <c r="C598" s="34"/>
    </row>
    <row r="599" spans="1:3" x14ac:dyDescent="0.2">
      <c r="A599" s="139" t="s">
        <v>505</v>
      </c>
      <c r="B599" s="171">
        <v>0</v>
      </c>
      <c r="C599" s="34"/>
    </row>
    <row r="600" spans="1:3" x14ac:dyDescent="0.2">
      <c r="A600" s="139" t="s">
        <v>506</v>
      </c>
      <c r="B600" s="171">
        <v>0</v>
      </c>
      <c r="C600" s="34"/>
    </row>
    <row r="601" spans="1:3" x14ac:dyDescent="0.2">
      <c r="A601" s="139" t="s">
        <v>269</v>
      </c>
      <c r="B601" s="171">
        <v>0</v>
      </c>
      <c r="C601" s="34"/>
    </row>
    <row r="602" spans="1:3" x14ac:dyDescent="0.2">
      <c r="A602" s="139" t="s">
        <v>270</v>
      </c>
      <c r="B602" s="171">
        <v>0</v>
      </c>
      <c r="C602" s="34"/>
    </row>
    <row r="603" spans="1:3" x14ac:dyDescent="0.2">
      <c r="A603" s="139" t="s">
        <v>271</v>
      </c>
      <c r="B603" s="171">
        <v>0</v>
      </c>
      <c r="C603" s="34"/>
    </row>
    <row r="604" spans="1:3" x14ac:dyDescent="0.2">
      <c r="A604" s="139" t="s">
        <v>272</v>
      </c>
      <c r="B604" s="171">
        <v>6500</v>
      </c>
      <c r="C604" s="34"/>
    </row>
    <row r="605" spans="1:3" x14ac:dyDescent="0.2">
      <c r="A605" s="125" t="s">
        <v>273</v>
      </c>
      <c r="B605" s="171">
        <v>1756</v>
      </c>
      <c r="C605" s="34"/>
    </row>
    <row r="606" spans="1:3" x14ac:dyDescent="0.2">
      <c r="A606" s="125" t="s">
        <v>507</v>
      </c>
      <c r="B606" s="171">
        <v>20000</v>
      </c>
      <c r="C606" s="34"/>
    </row>
    <row r="607" spans="1:3" x14ac:dyDescent="0.2">
      <c r="A607" s="125" t="s">
        <v>274</v>
      </c>
      <c r="B607" s="171">
        <v>2865</v>
      </c>
      <c r="C607" s="34"/>
    </row>
    <row r="608" spans="1:3" x14ac:dyDescent="0.2">
      <c r="A608" s="125" t="s">
        <v>519</v>
      </c>
      <c r="B608" s="171">
        <v>0</v>
      </c>
    </row>
  </sheetData>
  <mergeCells count="24">
    <mergeCell ref="A30:B30"/>
    <mergeCell ref="A59:B59"/>
    <mergeCell ref="A85:B85"/>
    <mergeCell ref="A98:B98"/>
    <mergeCell ref="A126:B126"/>
    <mergeCell ref="A322:B322"/>
    <mergeCell ref="A142:B142"/>
    <mergeCell ref="A145:B145"/>
    <mergeCell ref="A166:B166"/>
    <mergeCell ref="A187:B187"/>
    <mergeCell ref="A209:B209"/>
    <mergeCell ref="A230:B230"/>
    <mergeCell ref="A251:B251"/>
    <mergeCell ref="A267:B267"/>
    <mergeCell ref="A288:B288"/>
    <mergeCell ref="A524:B524"/>
    <mergeCell ref="A560:B560"/>
    <mergeCell ref="A595:B595"/>
    <mergeCell ref="A355:B355"/>
    <mergeCell ref="A393:B393"/>
    <mergeCell ref="A414:B414"/>
    <mergeCell ref="A443:B443"/>
    <mergeCell ref="A470:B470"/>
    <mergeCell ref="A500:B500"/>
  </mergeCells>
  <printOptions horizontalCentered="1"/>
  <pageMargins left="0.5" right="0.5" top="0.5" bottom="0.5" header="0.3" footer="0.3"/>
  <pageSetup orientation="portrait" r:id="rId1"/>
  <rowBreaks count="23" manualBreakCount="23">
    <brk id="29" max="16383" man="1"/>
    <brk id="58" max="16383" man="1"/>
    <brk id="84" max="9" man="1"/>
    <brk id="97" max="16383" man="1"/>
    <brk id="125" max="16383" man="1"/>
    <brk id="141" max="16383" man="1"/>
    <brk id="165" max="16383" man="1"/>
    <brk id="186" max="16383" man="1"/>
    <brk id="208" max="16383" man="1"/>
    <brk id="229" max="16383" man="1"/>
    <brk id="250" max="16383" man="1"/>
    <brk id="266" max="16383" man="1"/>
    <brk id="287" max="16383" man="1"/>
    <brk id="321" max="16383" man="1"/>
    <brk id="354" max="16383" man="1"/>
    <brk id="392" max="16383" man="1"/>
    <brk id="413" max="16383" man="1"/>
    <brk id="442" max="16383" man="1"/>
    <brk id="469" max="16383" man="1"/>
    <brk id="499" max="16383" man="1"/>
    <brk id="523" max="9" man="1"/>
    <brk id="559" max="9" man="1"/>
    <brk id="594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view="pageBreakPreview" zoomScaleNormal="70" zoomScaleSheetLayoutView="100" workbookViewId="0">
      <selection activeCell="A144" sqref="A144"/>
    </sheetView>
  </sheetViews>
  <sheetFormatPr defaultColWidth="8.85546875" defaultRowHeight="12.75" x14ac:dyDescent="0.2"/>
  <cols>
    <col min="1" max="1" width="29" style="220" customWidth="1"/>
    <col min="2" max="6" width="11.85546875" style="220" customWidth="1"/>
    <col min="7" max="11" width="8.85546875" style="39"/>
    <col min="12" max="12" width="8.85546875" style="475"/>
    <col min="13" max="16384" width="8.85546875" style="27"/>
  </cols>
  <sheetData>
    <row r="1" spans="1:12" x14ac:dyDescent="0.2">
      <c r="A1" s="499" t="s">
        <v>409</v>
      </c>
      <c r="B1" s="499"/>
      <c r="C1" s="499"/>
      <c r="D1" s="499"/>
      <c r="E1" s="499"/>
      <c r="F1" s="499"/>
      <c r="L1" s="140"/>
    </row>
    <row r="2" spans="1:12" s="467" customFormat="1" ht="13.5" thickBot="1" x14ac:dyDescent="0.25">
      <c r="A2" s="78"/>
      <c r="B2" s="78"/>
      <c r="C2" s="78"/>
      <c r="D2" s="78"/>
      <c r="E2" s="78"/>
      <c r="F2" s="78"/>
      <c r="G2" s="39"/>
      <c r="H2" s="39"/>
      <c r="I2" s="39"/>
      <c r="J2" s="39"/>
      <c r="K2" s="39"/>
      <c r="L2" s="475"/>
    </row>
    <row r="3" spans="1:12" s="467" customFormat="1" ht="14.25" thickBot="1" x14ac:dyDescent="0.3">
      <c r="A3" s="76" t="s">
        <v>593</v>
      </c>
      <c r="B3" s="77" t="s">
        <v>515</v>
      </c>
      <c r="C3" s="77" t="s">
        <v>515</v>
      </c>
      <c r="D3" s="77" t="s">
        <v>515</v>
      </c>
      <c r="E3" s="77" t="s">
        <v>515</v>
      </c>
      <c r="F3" s="77" t="s">
        <v>515</v>
      </c>
      <c r="G3" s="476"/>
      <c r="H3" s="476"/>
      <c r="I3" s="476"/>
      <c r="J3" s="476"/>
      <c r="K3" s="476"/>
      <c r="L3" s="475"/>
    </row>
    <row r="4" spans="1:12" s="467" customFormat="1" x14ac:dyDescent="0.2">
      <c r="A4" s="84"/>
      <c r="B4" s="129"/>
      <c r="C4" s="129"/>
      <c r="D4" s="129"/>
      <c r="E4" s="129"/>
      <c r="F4" s="130"/>
      <c r="G4" s="477"/>
      <c r="H4" s="477"/>
      <c r="I4" s="477"/>
      <c r="J4" s="477"/>
      <c r="K4" s="39"/>
      <c r="L4" s="475"/>
    </row>
    <row r="5" spans="1:12" s="467" customFormat="1" x14ac:dyDescent="0.2">
      <c r="A5" s="125" t="s">
        <v>592</v>
      </c>
      <c r="B5" s="131"/>
      <c r="C5" s="131"/>
      <c r="D5" s="131"/>
      <c r="E5" s="131"/>
      <c r="F5" s="132"/>
      <c r="G5" s="477"/>
      <c r="H5" s="477"/>
      <c r="I5" s="477"/>
      <c r="J5" s="477"/>
      <c r="K5" s="39"/>
      <c r="L5" s="475"/>
    </row>
    <row r="6" spans="1:12" s="467" customFormat="1" x14ac:dyDescent="0.2">
      <c r="A6" s="125" t="str">
        <f>'11 EXS 1-9 Budget Parameters'!A31</f>
        <v>Total Miles Driven</v>
      </c>
      <c r="B6" s="128"/>
      <c r="C6" s="128"/>
      <c r="D6" s="128"/>
      <c r="E6" s="128"/>
      <c r="F6" s="72"/>
      <c r="G6" s="39"/>
      <c r="H6" s="39"/>
      <c r="I6" s="39"/>
      <c r="J6" s="39"/>
      <c r="K6" s="39"/>
      <c r="L6" s="475"/>
    </row>
    <row r="7" spans="1:12" s="467" customFormat="1" x14ac:dyDescent="0.2">
      <c r="A7" s="125" t="str">
        <f>'11 EXS 1-9 Budget Parameters'!A32</f>
        <v>Avg Miles Per All Calls</v>
      </c>
      <c r="B7" s="137"/>
      <c r="C7" s="137"/>
      <c r="D7" s="137"/>
      <c r="E7" s="137"/>
      <c r="F7" s="138"/>
      <c r="G7" s="187"/>
      <c r="H7" s="187"/>
      <c r="I7" s="187"/>
      <c r="J7" s="187"/>
      <c r="K7" s="39"/>
      <c r="L7" s="475"/>
    </row>
    <row r="8" spans="1:12" s="467" customFormat="1" x14ac:dyDescent="0.2">
      <c r="A8" s="125" t="str">
        <f>'11 EXS 1-9 Budget Parameters'!A33</f>
        <v>% of Billable Miles</v>
      </c>
      <c r="B8" s="135"/>
      <c r="C8" s="135"/>
      <c r="D8" s="135"/>
      <c r="E8" s="135"/>
      <c r="F8" s="136"/>
      <c r="G8" s="142"/>
      <c r="H8" s="142"/>
      <c r="I8" s="142"/>
      <c r="J8" s="142"/>
      <c r="K8" s="39"/>
      <c r="L8" s="475"/>
    </row>
    <row r="9" spans="1:12" x14ac:dyDescent="0.2">
      <c r="A9" s="505"/>
      <c r="B9" s="505"/>
      <c r="C9" s="505"/>
      <c r="D9" s="505"/>
      <c r="E9" s="505"/>
      <c r="F9" s="505"/>
    </row>
    <row r="10" spans="1:12" x14ac:dyDescent="0.2">
      <c r="A10" s="504" t="s">
        <v>514</v>
      </c>
      <c r="B10" s="504"/>
      <c r="C10" s="504"/>
      <c r="D10" s="504"/>
      <c r="E10" s="504"/>
      <c r="F10" s="504"/>
    </row>
    <row r="11" spans="1:12" ht="13.5" thickBot="1" x14ac:dyDescent="0.25">
      <c r="A11" s="78"/>
      <c r="B11" s="78"/>
      <c r="C11" s="78"/>
      <c r="D11" s="78"/>
      <c r="E11" s="78"/>
      <c r="F11" s="78"/>
    </row>
    <row r="12" spans="1:12" ht="18" customHeight="1" thickBot="1" x14ac:dyDescent="0.3">
      <c r="A12" s="76" t="s">
        <v>385</v>
      </c>
      <c r="B12" s="77" t="s">
        <v>515</v>
      </c>
      <c r="C12" s="77" t="s">
        <v>515</v>
      </c>
      <c r="D12" s="77" t="s">
        <v>515</v>
      </c>
      <c r="E12" s="77" t="s">
        <v>515</v>
      </c>
      <c r="F12" s="77" t="s">
        <v>515</v>
      </c>
    </row>
    <row r="13" spans="1:12" x14ac:dyDescent="0.2">
      <c r="A13" s="220" t="s">
        <v>81</v>
      </c>
      <c r="B13" s="71"/>
      <c r="C13" s="71"/>
      <c r="D13" s="71"/>
      <c r="E13" s="71"/>
      <c r="F13" s="71"/>
    </row>
    <row r="14" spans="1:12" x14ac:dyDescent="0.2">
      <c r="A14" s="67" t="s">
        <v>82</v>
      </c>
      <c r="B14" s="72"/>
      <c r="C14" s="72"/>
      <c r="D14" s="72"/>
      <c r="E14" s="72"/>
      <c r="F14" s="72"/>
    </row>
    <row r="15" spans="1:12" x14ac:dyDescent="0.2">
      <c r="A15" s="220" t="s">
        <v>84</v>
      </c>
      <c r="B15" s="71"/>
      <c r="C15" s="71"/>
      <c r="D15" s="71"/>
      <c r="E15" s="71"/>
      <c r="F15" s="71"/>
    </row>
    <row r="16" spans="1:12" x14ac:dyDescent="0.2">
      <c r="A16" s="67" t="s">
        <v>85</v>
      </c>
      <c r="B16" s="72"/>
      <c r="C16" s="72"/>
      <c r="D16" s="72"/>
      <c r="E16" s="72"/>
      <c r="F16" s="72"/>
    </row>
    <row r="17" spans="1:6" x14ac:dyDescent="0.2">
      <c r="A17" s="220" t="s">
        <v>83</v>
      </c>
      <c r="B17" s="71"/>
      <c r="C17" s="71"/>
      <c r="D17" s="71"/>
      <c r="E17" s="71"/>
      <c r="F17" s="71"/>
    </row>
    <row r="18" spans="1:6" x14ac:dyDescent="0.2">
      <c r="A18" s="67" t="s">
        <v>33</v>
      </c>
      <c r="B18" s="72"/>
      <c r="C18" s="72"/>
      <c r="D18" s="72"/>
      <c r="E18" s="72"/>
      <c r="F18" s="72"/>
    </row>
    <row r="19" spans="1:6" x14ac:dyDescent="0.2">
      <c r="A19" s="220" t="s">
        <v>35</v>
      </c>
      <c r="B19" s="71"/>
      <c r="C19" s="71"/>
      <c r="D19" s="71"/>
      <c r="E19" s="71"/>
      <c r="F19" s="71"/>
    </row>
    <row r="20" spans="1:6" x14ac:dyDescent="0.2">
      <c r="A20" s="67" t="s">
        <v>37</v>
      </c>
      <c r="B20" s="72"/>
      <c r="C20" s="72"/>
      <c r="D20" s="72"/>
      <c r="E20" s="72"/>
      <c r="F20" s="72"/>
    </row>
    <row r="21" spans="1:6" x14ac:dyDescent="0.2">
      <c r="A21" s="220" t="s">
        <v>42</v>
      </c>
      <c r="B21" s="71"/>
      <c r="C21" s="71"/>
      <c r="D21" s="71"/>
      <c r="E21" s="71"/>
      <c r="F21" s="71"/>
    </row>
    <row r="22" spans="1:6" x14ac:dyDescent="0.2">
      <c r="A22" s="67" t="s">
        <v>664</v>
      </c>
      <c r="B22" s="72"/>
      <c r="C22" s="72"/>
      <c r="D22" s="72"/>
      <c r="E22" s="72"/>
      <c r="F22" s="72"/>
    </row>
    <row r="23" spans="1:6" x14ac:dyDescent="0.2">
      <c r="B23" s="71"/>
      <c r="C23" s="71"/>
      <c r="D23" s="71"/>
      <c r="E23" s="71"/>
      <c r="F23" s="71"/>
    </row>
    <row r="24" spans="1:6" x14ac:dyDescent="0.2">
      <c r="A24" s="67" t="s">
        <v>44</v>
      </c>
      <c r="B24" s="72"/>
      <c r="C24" s="72"/>
      <c r="D24" s="72"/>
      <c r="E24" s="72"/>
      <c r="F24" s="72"/>
    </row>
    <row r="25" spans="1:6" x14ac:dyDescent="0.2">
      <c r="A25" s="220" t="s">
        <v>45</v>
      </c>
      <c r="B25" s="71"/>
      <c r="C25" s="71"/>
      <c r="D25" s="71"/>
      <c r="E25" s="71"/>
      <c r="F25" s="71"/>
    </row>
    <row r="26" spans="1:6" x14ac:dyDescent="0.2">
      <c r="A26" s="67" t="s">
        <v>434</v>
      </c>
      <c r="B26" s="72"/>
      <c r="C26" s="72"/>
      <c r="D26" s="72"/>
      <c r="E26" s="72"/>
      <c r="F26" s="72"/>
    </row>
    <row r="27" spans="1:6" x14ac:dyDescent="0.2">
      <c r="B27" s="71"/>
      <c r="C27" s="71"/>
      <c r="D27" s="71"/>
      <c r="E27" s="71"/>
      <c r="F27" s="71"/>
    </row>
    <row r="28" spans="1:6" x14ac:dyDescent="0.2">
      <c r="A28" s="67"/>
      <c r="B28" s="72"/>
      <c r="C28" s="72"/>
      <c r="D28" s="72"/>
      <c r="E28" s="72"/>
      <c r="F28" s="72"/>
    </row>
    <row r="29" spans="1:6" x14ac:dyDescent="0.2">
      <c r="B29" s="71"/>
      <c r="C29" s="71"/>
      <c r="D29" s="71"/>
      <c r="E29" s="71"/>
      <c r="F29" s="71"/>
    </row>
    <row r="30" spans="1:6" x14ac:dyDescent="0.2">
      <c r="A30" s="67"/>
      <c r="B30" s="72"/>
      <c r="C30" s="72"/>
      <c r="D30" s="72"/>
      <c r="E30" s="72"/>
      <c r="F30" s="72"/>
    </row>
    <row r="31" spans="1:6" x14ac:dyDescent="0.2">
      <c r="B31" s="71"/>
      <c r="C31" s="71"/>
      <c r="D31" s="71"/>
      <c r="E31" s="71"/>
      <c r="F31" s="71"/>
    </row>
    <row r="32" spans="1:6" x14ac:dyDescent="0.2">
      <c r="A32" s="67"/>
      <c r="B32" s="72"/>
      <c r="C32" s="72"/>
      <c r="D32" s="72"/>
      <c r="E32" s="72"/>
      <c r="F32" s="72"/>
    </row>
    <row r="33" spans="1:6" x14ac:dyDescent="0.2">
      <c r="B33" s="71"/>
      <c r="C33" s="71"/>
      <c r="D33" s="71"/>
      <c r="E33" s="71"/>
      <c r="F33" s="71"/>
    </row>
    <row r="34" spans="1:6" x14ac:dyDescent="0.2">
      <c r="A34" s="67"/>
      <c r="B34" s="72"/>
      <c r="C34" s="72"/>
      <c r="D34" s="72"/>
      <c r="E34" s="72"/>
      <c r="F34" s="72"/>
    </row>
    <row r="35" spans="1:6" x14ac:dyDescent="0.2">
      <c r="A35" s="67"/>
      <c r="B35" s="72"/>
      <c r="C35" s="72"/>
      <c r="D35" s="72"/>
      <c r="E35" s="72"/>
      <c r="F35" s="72"/>
    </row>
    <row r="36" spans="1:6" ht="13.5" thickBot="1" x14ac:dyDescent="0.25">
      <c r="A36" s="85"/>
      <c r="B36" s="86"/>
      <c r="C36" s="86"/>
      <c r="D36" s="86"/>
      <c r="E36" s="86"/>
      <c r="F36" s="86"/>
    </row>
    <row r="37" spans="1:6" x14ac:dyDescent="0.2">
      <c r="A37" s="39"/>
      <c r="B37" s="71"/>
      <c r="C37" s="71"/>
      <c r="D37" s="71"/>
      <c r="E37" s="71"/>
      <c r="F37" s="71"/>
    </row>
    <row r="38" spans="1:6" x14ac:dyDescent="0.2">
      <c r="A38" s="84" t="s">
        <v>86</v>
      </c>
      <c r="B38" s="79">
        <f>SUM(B13:B36)</f>
        <v>0</v>
      </c>
      <c r="C38" s="79">
        <f>SUM(C13:C36)</f>
        <v>0</v>
      </c>
      <c r="D38" s="79">
        <f>SUM(D13:D36)</f>
        <v>0</v>
      </c>
      <c r="E38" s="79">
        <f>SUM(E13:E36)</f>
        <v>0</v>
      </c>
      <c r="F38" s="79">
        <f>SUM(F13:F36)</f>
        <v>0</v>
      </c>
    </row>
    <row r="39" spans="1:6" ht="13.5" thickBot="1" x14ac:dyDescent="0.25">
      <c r="A39" s="41"/>
      <c r="B39" s="75"/>
      <c r="C39" s="75"/>
      <c r="D39" s="75"/>
      <c r="E39" s="75"/>
      <c r="F39" s="75"/>
    </row>
    <row r="40" spans="1:6" ht="13.5" thickTop="1" x14ac:dyDescent="0.2"/>
    <row r="41" spans="1:6" x14ac:dyDescent="0.2">
      <c r="A41" s="504" t="s">
        <v>518</v>
      </c>
      <c r="B41" s="504"/>
      <c r="C41" s="504"/>
      <c r="D41" s="504"/>
      <c r="E41" s="504"/>
      <c r="F41" s="504"/>
    </row>
    <row r="42" spans="1:6" ht="13.5" thickBot="1" x14ac:dyDescent="0.25">
      <c r="A42" s="78"/>
      <c r="B42" s="78"/>
      <c r="C42" s="78"/>
      <c r="D42" s="78"/>
      <c r="E42" s="78"/>
      <c r="F42" s="78"/>
    </row>
    <row r="43" spans="1:6" ht="19.5" customHeight="1" thickBot="1" x14ac:dyDescent="0.3">
      <c r="A43" s="76" t="s">
        <v>384</v>
      </c>
      <c r="B43" s="77" t="s">
        <v>515</v>
      </c>
      <c r="C43" s="77" t="s">
        <v>515</v>
      </c>
      <c r="D43" s="77" t="s">
        <v>515</v>
      </c>
      <c r="E43" s="77" t="s">
        <v>515</v>
      </c>
      <c r="F43" s="77" t="s">
        <v>515</v>
      </c>
    </row>
    <row r="44" spans="1:6" x14ac:dyDescent="0.2">
      <c r="A44" s="220" t="s">
        <v>81</v>
      </c>
      <c r="B44" s="71"/>
      <c r="C44" s="71"/>
      <c r="D44" s="71"/>
      <c r="E44" s="71"/>
      <c r="F44" s="71"/>
    </row>
    <row r="45" spans="1:6" x14ac:dyDescent="0.2">
      <c r="A45" s="67" t="s">
        <v>82</v>
      </c>
      <c r="B45" s="72"/>
      <c r="C45" s="72"/>
      <c r="D45" s="72"/>
      <c r="E45" s="72"/>
      <c r="F45" s="72"/>
    </row>
    <row r="46" spans="1:6" x14ac:dyDescent="0.2">
      <c r="A46" s="220" t="s">
        <v>84</v>
      </c>
      <c r="B46" s="71"/>
      <c r="C46" s="71"/>
      <c r="D46" s="71"/>
      <c r="E46" s="71"/>
      <c r="F46" s="71"/>
    </row>
    <row r="47" spans="1:6" x14ac:dyDescent="0.2">
      <c r="A47" s="67" t="s">
        <v>85</v>
      </c>
      <c r="B47" s="72"/>
      <c r="C47" s="72"/>
      <c r="D47" s="72"/>
      <c r="E47" s="72"/>
      <c r="F47" s="72"/>
    </row>
    <row r="48" spans="1:6" x14ac:dyDescent="0.2">
      <c r="A48" s="220" t="s">
        <v>83</v>
      </c>
      <c r="B48" s="71"/>
      <c r="C48" s="71"/>
      <c r="D48" s="71"/>
      <c r="E48" s="71"/>
      <c r="F48" s="71"/>
    </row>
    <row r="49" spans="1:6" x14ac:dyDescent="0.2">
      <c r="A49" s="67" t="s">
        <v>33</v>
      </c>
      <c r="B49" s="72"/>
      <c r="C49" s="72"/>
      <c r="D49" s="72"/>
      <c r="E49" s="72"/>
      <c r="F49" s="72"/>
    </row>
    <row r="50" spans="1:6" x14ac:dyDescent="0.2">
      <c r="A50" s="220" t="s">
        <v>35</v>
      </c>
      <c r="B50" s="71"/>
      <c r="C50" s="71"/>
      <c r="D50" s="71"/>
      <c r="E50" s="71"/>
      <c r="F50" s="71"/>
    </row>
    <row r="51" spans="1:6" x14ac:dyDescent="0.2">
      <c r="A51" s="67" t="s">
        <v>37</v>
      </c>
      <c r="B51" s="72"/>
      <c r="C51" s="72"/>
      <c r="D51" s="72"/>
      <c r="E51" s="72"/>
      <c r="F51" s="72"/>
    </row>
    <row r="52" spans="1:6" x14ac:dyDescent="0.2">
      <c r="A52" s="220" t="s">
        <v>42</v>
      </c>
      <c r="B52" s="71"/>
      <c r="C52" s="71"/>
      <c r="D52" s="71"/>
      <c r="E52" s="71"/>
      <c r="F52" s="71"/>
    </row>
    <row r="53" spans="1:6" x14ac:dyDescent="0.2">
      <c r="A53" s="67" t="s">
        <v>664</v>
      </c>
      <c r="B53" s="72"/>
      <c r="C53" s="72"/>
      <c r="D53" s="72"/>
      <c r="E53" s="72"/>
      <c r="F53" s="72"/>
    </row>
    <row r="54" spans="1:6" x14ac:dyDescent="0.2">
      <c r="B54" s="71"/>
      <c r="C54" s="71"/>
      <c r="D54" s="71"/>
      <c r="E54" s="71"/>
      <c r="F54" s="71"/>
    </row>
    <row r="55" spans="1:6" x14ac:dyDescent="0.2">
      <c r="A55" s="67" t="s">
        <v>44</v>
      </c>
      <c r="B55" s="72"/>
      <c r="C55" s="72"/>
      <c r="D55" s="72"/>
      <c r="E55" s="72"/>
      <c r="F55" s="72"/>
    </row>
    <row r="56" spans="1:6" x14ac:dyDescent="0.2">
      <c r="A56" s="220" t="s">
        <v>45</v>
      </c>
      <c r="B56" s="71"/>
      <c r="C56" s="71"/>
      <c r="D56" s="71"/>
      <c r="E56" s="71"/>
      <c r="F56" s="71"/>
    </row>
    <row r="57" spans="1:6" x14ac:dyDescent="0.2">
      <c r="A57" s="67" t="s">
        <v>434</v>
      </c>
      <c r="B57" s="72"/>
      <c r="C57" s="72"/>
      <c r="D57" s="72"/>
      <c r="E57" s="72"/>
      <c r="F57" s="72"/>
    </row>
    <row r="58" spans="1:6" x14ac:dyDescent="0.2">
      <c r="B58" s="71"/>
      <c r="C58" s="71"/>
      <c r="D58" s="71"/>
      <c r="E58" s="71"/>
      <c r="F58" s="71"/>
    </row>
    <row r="59" spans="1:6" x14ac:dyDescent="0.2">
      <c r="A59" s="67"/>
      <c r="B59" s="72"/>
      <c r="C59" s="72"/>
      <c r="D59" s="72"/>
      <c r="E59" s="72"/>
      <c r="F59" s="72"/>
    </row>
    <row r="60" spans="1:6" x14ac:dyDescent="0.2">
      <c r="B60" s="71"/>
      <c r="C60" s="71"/>
      <c r="D60" s="71"/>
      <c r="E60" s="71"/>
      <c r="F60" s="71"/>
    </row>
    <row r="61" spans="1:6" x14ac:dyDescent="0.2">
      <c r="A61" s="67"/>
      <c r="B61" s="72"/>
      <c r="C61" s="72"/>
      <c r="D61" s="72"/>
      <c r="E61" s="72"/>
      <c r="F61" s="72"/>
    </row>
    <row r="62" spans="1:6" x14ac:dyDescent="0.2">
      <c r="B62" s="71"/>
      <c r="C62" s="71"/>
      <c r="D62" s="71"/>
      <c r="E62" s="71"/>
      <c r="F62" s="71"/>
    </row>
    <row r="63" spans="1:6" x14ac:dyDescent="0.2">
      <c r="A63" s="67"/>
      <c r="B63" s="72"/>
      <c r="C63" s="72"/>
      <c r="D63" s="72"/>
      <c r="E63" s="72"/>
      <c r="F63" s="72"/>
    </row>
    <row r="64" spans="1:6" x14ac:dyDescent="0.2">
      <c r="B64" s="71"/>
      <c r="C64" s="71"/>
      <c r="D64" s="71"/>
      <c r="E64" s="71"/>
      <c r="F64" s="71"/>
    </row>
    <row r="65" spans="1:6" x14ac:dyDescent="0.2">
      <c r="A65" s="67"/>
      <c r="B65" s="72"/>
      <c r="C65" s="72"/>
      <c r="D65" s="72"/>
      <c r="E65" s="72"/>
      <c r="F65" s="72"/>
    </row>
    <row r="66" spans="1:6" x14ac:dyDescent="0.2">
      <c r="A66" s="67"/>
      <c r="B66" s="72"/>
      <c r="C66" s="72"/>
      <c r="D66" s="72"/>
      <c r="E66" s="72"/>
      <c r="F66" s="72"/>
    </row>
    <row r="67" spans="1:6" ht="13.5" thickBot="1" x14ac:dyDescent="0.25">
      <c r="A67" s="85"/>
      <c r="B67" s="86"/>
      <c r="C67" s="86"/>
      <c r="D67" s="86"/>
      <c r="E67" s="86"/>
      <c r="F67" s="86"/>
    </row>
    <row r="68" spans="1:6" x14ac:dyDescent="0.2">
      <c r="A68" s="39"/>
      <c r="B68" s="71"/>
      <c r="C68" s="71"/>
      <c r="D68" s="71"/>
      <c r="E68" s="71"/>
      <c r="F68" s="71"/>
    </row>
    <row r="69" spans="1:6" x14ac:dyDescent="0.2">
      <c r="A69" s="84" t="s">
        <v>424</v>
      </c>
      <c r="B69" s="79">
        <f>SUM(B44:B67)</f>
        <v>0</v>
      </c>
      <c r="C69" s="79">
        <f>SUM(C44:C67)</f>
        <v>0</v>
      </c>
      <c r="D69" s="79">
        <f>SUM(D44:D67)</f>
        <v>0</v>
      </c>
      <c r="E69" s="79">
        <f>SUM(E44:E67)</f>
        <v>0</v>
      </c>
      <c r="F69" s="79">
        <f>SUM(F44:F67)</f>
        <v>0</v>
      </c>
    </row>
    <row r="70" spans="1:6" ht="13.5" thickBot="1" x14ac:dyDescent="0.25">
      <c r="A70" s="41"/>
      <c r="B70" s="75"/>
      <c r="C70" s="75"/>
      <c r="D70" s="75"/>
      <c r="E70" s="75"/>
      <c r="F70" s="75"/>
    </row>
    <row r="71" spans="1:6" ht="13.5" thickTop="1" x14ac:dyDescent="0.2"/>
    <row r="72" spans="1:6" x14ac:dyDescent="0.2">
      <c r="A72" s="504" t="s">
        <v>517</v>
      </c>
      <c r="B72" s="504"/>
      <c r="C72" s="504"/>
      <c r="D72" s="504"/>
      <c r="E72" s="504"/>
      <c r="F72" s="504"/>
    </row>
    <row r="73" spans="1:6" ht="7.9" customHeight="1" thickBot="1" x14ac:dyDescent="0.25">
      <c r="A73" s="78"/>
    </row>
    <row r="74" spans="1:6" ht="13.9" customHeight="1" thickBot="1" x14ac:dyDescent="0.3">
      <c r="A74" s="76" t="s">
        <v>425</v>
      </c>
      <c r="B74" s="235" t="s">
        <v>515</v>
      </c>
      <c r="C74" s="236" t="s">
        <v>515</v>
      </c>
      <c r="D74" s="236" t="s">
        <v>515</v>
      </c>
      <c r="E74" s="236" t="s">
        <v>515</v>
      </c>
      <c r="F74" s="236" t="s">
        <v>515</v>
      </c>
    </row>
    <row r="75" spans="1:6" x14ac:dyDescent="0.2">
      <c r="A75" s="220" t="s">
        <v>426</v>
      </c>
      <c r="B75" s="71"/>
      <c r="C75" s="71"/>
      <c r="D75" s="71"/>
      <c r="E75" s="71"/>
      <c r="F75" s="71"/>
    </row>
    <row r="76" spans="1:6" x14ac:dyDescent="0.2">
      <c r="A76" s="67" t="s">
        <v>155</v>
      </c>
      <c r="B76" s="72"/>
      <c r="C76" s="72"/>
      <c r="D76" s="72"/>
      <c r="E76" s="72"/>
      <c r="F76" s="72"/>
    </row>
    <row r="77" spans="1:6" x14ac:dyDescent="0.2">
      <c r="A77" s="220" t="s">
        <v>154</v>
      </c>
      <c r="B77" s="71"/>
      <c r="C77" s="71"/>
      <c r="D77" s="71"/>
      <c r="E77" s="71"/>
      <c r="F77" s="71"/>
    </row>
    <row r="78" spans="1:6" x14ac:dyDescent="0.2">
      <c r="A78" s="67" t="s">
        <v>156</v>
      </c>
      <c r="B78" s="72"/>
      <c r="C78" s="72"/>
      <c r="D78" s="72"/>
      <c r="E78" s="72"/>
      <c r="F78" s="72"/>
    </row>
    <row r="79" spans="1:6" x14ac:dyDescent="0.2">
      <c r="A79" s="220" t="s">
        <v>157</v>
      </c>
      <c r="B79" s="71"/>
      <c r="C79" s="71"/>
      <c r="D79" s="71"/>
      <c r="E79" s="71"/>
      <c r="F79" s="71"/>
    </row>
    <row r="80" spans="1:6" x14ac:dyDescent="0.2">
      <c r="A80" s="67" t="s">
        <v>158</v>
      </c>
      <c r="B80" s="72"/>
      <c r="C80" s="72"/>
      <c r="D80" s="72"/>
      <c r="E80" s="72"/>
      <c r="F80" s="72"/>
    </row>
    <row r="81" spans="1:6" x14ac:dyDescent="0.2">
      <c r="A81" s="220" t="s">
        <v>410</v>
      </c>
      <c r="B81" s="71"/>
      <c r="C81" s="71"/>
      <c r="D81" s="71"/>
      <c r="E81" s="71"/>
      <c r="F81" s="71"/>
    </row>
    <row r="82" spans="1:6" x14ac:dyDescent="0.2">
      <c r="A82" s="67" t="s">
        <v>411</v>
      </c>
      <c r="B82" s="72"/>
      <c r="C82" s="72"/>
      <c r="D82" s="72"/>
      <c r="E82" s="72"/>
      <c r="F82" s="72"/>
    </row>
    <row r="83" spans="1:6" x14ac:dyDescent="0.2">
      <c r="A83" s="220" t="s">
        <v>412</v>
      </c>
      <c r="B83" s="71"/>
      <c r="C83" s="71"/>
      <c r="D83" s="71"/>
      <c r="E83" s="71"/>
      <c r="F83" s="71"/>
    </row>
    <row r="84" spans="1:6" x14ac:dyDescent="0.2">
      <c r="A84" s="67" t="s">
        <v>413</v>
      </c>
      <c r="B84" s="72"/>
      <c r="C84" s="72"/>
      <c r="D84" s="72"/>
      <c r="E84" s="72"/>
      <c r="F84" s="72"/>
    </row>
    <row r="85" spans="1:6" x14ac:dyDescent="0.2">
      <c r="A85" s="220" t="s">
        <v>414</v>
      </c>
      <c r="B85" s="71"/>
      <c r="C85" s="71"/>
      <c r="D85" s="71"/>
      <c r="E85" s="71"/>
      <c r="F85" s="71"/>
    </row>
    <row r="86" spans="1:6" x14ac:dyDescent="0.2">
      <c r="A86" s="67" t="s">
        <v>415</v>
      </c>
      <c r="B86" s="72"/>
      <c r="C86" s="72"/>
      <c r="D86" s="72"/>
      <c r="E86" s="72"/>
      <c r="F86" s="72"/>
    </row>
    <row r="87" spans="1:6" x14ac:dyDescent="0.2">
      <c r="A87" s="220" t="s">
        <v>416</v>
      </c>
      <c r="B87" s="71"/>
      <c r="C87" s="71"/>
      <c r="D87" s="71"/>
      <c r="E87" s="71"/>
      <c r="F87" s="71"/>
    </row>
    <row r="88" spans="1:6" x14ac:dyDescent="0.2">
      <c r="A88" s="67" t="s">
        <v>417</v>
      </c>
      <c r="B88" s="72"/>
      <c r="C88" s="72"/>
      <c r="D88" s="72"/>
      <c r="E88" s="72"/>
      <c r="F88" s="72"/>
    </row>
    <row r="89" spans="1:6" x14ac:dyDescent="0.2">
      <c r="A89" s="220" t="s">
        <v>418</v>
      </c>
      <c r="B89" s="71"/>
      <c r="C89" s="71"/>
      <c r="D89" s="71"/>
      <c r="E89" s="71"/>
      <c r="F89" s="71"/>
    </row>
    <row r="90" spans="1:6" x14ac:dyDescent="0.2">
      <c r="A90" s="67" t="s">
        <v>419</v>
      </c>
      <c r="B90" s="72"/>
      <c r="C90" s="72"/>
      <c r="D90" s="72"/>
      <c r="E90" s="72"/>
      <c r="F90" s="72"/>
    </row>
    <row r="91" spans="1:6" x14ac:dyDescent="0.2">
      <c r="A91" s="220" t="s">
        <v>420</v>
      </c>
      <c r="B91" s="71"/>
      <c r="C91" s="71"/>
      <c r="D91" s="71"/>
      <c r="E91" s="71"/>
      <c r="F91" s="71"/>
    </row>
    <row r="92" spans="1:6" x14ac:dyDescent="0.2">
      <c r="A92" s="67" t="s">
        <v>421</v>
      </c>
      <c r="B92" s="72"/>
      <c r="C92" s="72"/>
      <c r="D92" s="72"/>
      <c r="E92" s="72"/>
      <c r="F92" s="72"/>
    </row>
    <row r="93" spans="1:6" x14ac:dyDescent="0.2">
      <c r="A93" s="220" t="s">
        <v>422</v>
      </c>
      <c r="B93" s="71"/>
      <c r="C93" s="71"/>
      <c r="D93" s="71"/>
      <c r="E93" s="71"/>
      <c r="F93" s="71"/>
    </row>
    <row r="94" spans="1:6" x14ac:dyDescent="0.2">
      <c r="A94" s="67" t="s">
        <v>423</v>
      </c>
      <c r="B94" s="72"/>
      <c r="C94" s="72"/>
      <c r="D94" s="72"/>
      <c r="E94" s="72"/>
      <c r="F94" s="72"/>
    </row>
    <row r="95" spans="1:6" x14ac:dyDescent="0.2">
      <c r="B95" s="71"/>
      <c r="C95" s="71"/>
      <c r="D95" s="71"/>
      <c r="E95" s="71"/>
      <c r="F95" s="71"/>
    </row>
    <row r="96" spans="1:6" x14ac:dyDescent="0.2">
      <c r="A96" s="67"/>
      <c r="B96" s="72"/>
      <c r="C96" s="72"/>
      <c r="D96" s="72"/>
      <c r="E96" s="72"/>
      <c r="F96" s="72"/>
    </row>
    <row r="97" spans="1:6" x14ac:dyDescent="0.2">
      <c r="A97" s="67"/>
      <c r="B97" s="72"/>
      <c r="C97" s="72"/>
      <c r="D97" s="72"/>
      <c r="E97" s="72"/>
      <c r="F97" s="72"/>
    </row>
    <row r="98" spans="1:6" x14ac:dyDescent="0.2">
      <c r="A98" s="39"/>
      <c r="B98" s="71"/>
      <c r="C98" s="71"/>
      <c r="D98" s="71"/>
      <c r="E98" s="71"/>
      <c r="F98" s="71"/>
    </row>
    <row r="99" spans="1:6" x14ac:dyDescent="0.2">
      <c r="A99" s="67"/>
      <c r="B99" s="72"/>
      <c r="C99" s="72"/>
      <c r="D99" s="72"/>
      <c r="E99" s="72"/>
      <c r="F99" s="72"/>
    </row>
    <row r="100" spans="1:6" x14ac:dyDescent="0.2">
      <c r="B100" s="71"/>
      <c r="C100" s="71"/>
      <c r="D100" s="71"/>
      <c r="E100" s="71"/>
      <c r="F100" s="71"/>
    </row>
    <row r="101" spans="1:6" x14ac:dyDescent="0.2">
      <c r="A101" s="67"/>
      <c r="B101" s="72"/>
      <c r="C101" s="72"/>
      <c r="D101" s="72"/>
      <c r="E101" s="72"/>
      <c r="F101" s="72"/>
    </row>
    <row r="102" spans="1:6" x14ac:dyDescent="0.2">
      <c r="B102" s="71"/>
      <c r="C102" s="71"/>
      <c r="D102" s="71"/>
      <c r="E102" s="71"/>
      <c r="F102" s="71"/>
    </row>
    <row r="103" spans="1:6" x14ac:dyDescent="0.2">
      <c r="A103" s="67"/>
      <c r="B103" s="72"/>
      <c r="C103" s="72"/>
      <c r="D103" s="72"/>
      <c r="E103" s="72"/>
      <c r="F103" s="72"/>
    </row>
    <row r="104" spans="1:6" x14ac:dyDescent="0.2">
      <c r="A104" s="32"/>
      <c r="B104" s="80"/>
      <c r="C104" s="80"/>
      <c r="D104" s="80"/>
      <c r="E104" s="80"/>
      <c r="F104" s="80"/>
    </row>
    <row r="105" spans="1:6" ht="13.5" thickBot="1" x14ac:dyDescent="0.25">
      <c r="A105" s="85"/>
      <c r="B105" s="86"/>
      <c r="C105" s="86"/>
      <c r="D105" s="86"/>
      <c r="E105" s="86"/>
      <c r="F105" s="86"/>
    </row>
    <row r="106" spans="1:6" x14ac:dyDescent="0.2">
      <c r="A106" s="32" t="s">
        <v>233</v>
      </c>
      <c r="B106" s="79">
        <f>ROUND(SUM(B75:B104),0)</f>
        <v>0</v>
      </c>
      <c r="C106" s="79">
        <f>ROUND(SUM(C75:C104),0)</f>
        <v>0</v>
      </c>
      <c r="D106" s="79">
        <f>ROUND(SUM(D75:D104),0)</f>
        <v>0</v>
      </c>
      <c r="E106" s="79">
        <f>ROUND(SUM(E75:E104),0)</f>
        <v>0</v>
      </c>
      <c r="F106" s="79">
        <f>ROUND(SUM(F75:F104),0)</f>
        <v>0</v>
      </c>
    </row>
    <row r="107" spans="1:6" x14ac:dyDescent="0.2">
      <c r="A107" s="39" t="s">
        <v>427</v>
      </c>
      <c r="B107" s="74"/>
      <c r="C107" s="74"/>
      <c r="D107" s="74"/>
      <c r="E107" s="74"/>
      <c r="F107" s="74"/>
    </row>
    <row r="108" spans="1:6" x14ac:dyDescent="0.2">
      <c r="A108" s="83" t="s">
        <v>428</v>
      </c>
      <c r="B108" s="82">
        <f>ROUND(B106-B107,0)</f>
        <v>0</v>
      </c>
      <c r="C108" s="82">
        <f>ROUND(C106-C107,0)</f>
        <v>0</v>
      </c>
      <c r="D108" s="82">
        <f>ROUND(D106-D107,0)</f>
        <v>0</v>
      </c>
      <c r="E108" s="82">
        <f>ROUND(E106-E107,0)</f>
        <v>0</v>
      </c>
      <c r="F108" s="82">
        <f>ROUND(F106-F107,0)</f>
        <v>0</v>
      </c>
    </row>
    <row r="109" spans="1:6" ht="6.6" customHeight="1" thickBot="1" x14ac:dyDescent="0.25">
      <c r="A109" s="41"/>
      <c r="B109" s="81"/>
      <c r="C109" s="81"/>
      <c r="D109" s="81"/>
      <c r="E109" s="81"/>
      <c r="F109" s="81"/>
    </row>
    <row r="110" spans="1:6" ht="5.45" customHeight="1" thickTop="1" x14ac:dyDescent="0.2">
      <c r="A110" s="39"/>
      <c r="B110" s="40"/>
      <c r="C110" s="40"/>
      <c r="D110" s="40"/>
      <c r="E110" s="40"/>
      <c r="F110" s="40"/>
    </row>
    <row r="111" spans="1:6" x14ac:dyDescent="0.2">
      <c r="A111" s="504" t="s">
        <v>648</v>
      </c>
      <c r="B111" s="504"/>
      <c r="C111" s="504"/>
      <c r="D111" s="504"/>
      <c r="E111" s="504"/>
      <c r="F111" s="504"/>
    </row>
    <row r="113" spans="1:12" s="124" customFormat="1" ht="19.5" customHeight="1" thickBot="1" x14ac:dyDescent="0.3">
      <c r="A113" s="161" t="s">
        <v>647</v>
      </c>
      <c r="B113" s="162" t="s">
        <v>515</v>
      </c>
      <c r="C113" s="162" t="s">
        <v>515</v>
      </c>
      <c r="D113" s="162" t="s">
        <v>515</v>
      </c>
      <c r="E113" s="162" t="s">
        <v>515</v>
      </c>
      <c r="F113" s="162" t="s">
        <v>515</v>
      </c>
      <c r="G113" s="39"/>
      <c r="H113" s="39"/>
      <c r="I113" s="39"/>
      <c r="J113" s="39"/>
      <c r="K113" s="39"/>
      <c r="L113" s="475"/>
    </row>
    <row r="114" spans="1:12" ht="13.5" x14ac:dyDescent="0.25">
      <c r="A114" s="33"/>
      <c r="B114" s="70"/>
      <c r="C114" s="70"/>
      <c r="D114" s="70"/>
      <c r="E114" s="70"/>
      <c r="F114" s="70"/>
    </row>
    <row r="115" spans="1:12" x14ac:dyDescent="0.2">
      <c r="A115" s="67" t="s">
        <v>275</v>
      </c>
      <c r="B115" s="82"/>
      <c r="C115" s="82"/>
      <c r="D115" s="82"/>
      <c r="E115" s="82"/>
      <c r="F115" s="82"/>
    </row>
    <row r="116" spans="1:12" x14ac:dyDescent="0.2">
      <c r="A116" s="83" t="s">
        <v>387</v>
      </c>
      <c r="B116" s="79"/>
      <c r="C116" s="79"/>
      <c r="D116" s="79"/>
      <c r="E116" s="79"/>
      <c r="F116" s="79"/>
    </row>
    <row r="117" spans="1:12" x14ac:dyDescent="0.2">
      <c r="A117" s="39"/>
      <c r="B117" s="74"/>
      <c r="C117" s="74"/>
      <c r="D117" s="74"/>
      <c r="E117" s="74"/>
      <c r="F117" s="74"/>
    </row>
    <row r="118" spans="1:12" s="39" customFormat="1" x14ac:dyDescent="0.2">
      <c r="A118" s="54" t="s">
        <v>389</v>
      </c>
      <c r="B118" s="79">
        <f>SUM(B115:B116)</f>
        <v>0</v>
      </c>
      <c r="C118" s="79">
        <f>SUM(C115:C116)</f>
        <v>0</v>
      </c>
      <c r="D118" s="79">
        <f>SUM(D115:D116)</f>
        <v>0</v>
      </c>
      <c r="E118" s="79">
        <f>SUM(E115:E116)</f>
        <v>0</v>
      </c>
      <c r="F118" s="79">
        <f>SUM(F115:F116)</f>
        <v>0</v>
      </c>
      <c r="L118" s="475"/>
    </row>
    <row r="119" spans="1:12" x14ac:dyDescent="0.2">
      <c r="A119" s="83" t="s">
        <v>388</v>
      </c>
      <c r="B119" s="79">
        <f>B69</f>
        <v>0</v>
      </c>
      <c r="C119" s="79">
        <f>C69</f>
        <v>0</v>
      </c>
      <c r="D119" s="79">
        <f>D69</f>
        <v>0</v>
      </c>
      <c r="E119" s="79">
        <f>E69</f>
        <v>0</v>
      </c>
      <c r="F119" s="79">
        <f>F69</f>
        <v>0</v>
      </c>
    </row>
    <row r="120" spans="1:12" s="39" customFormat="1" ht="13.5" thickBot="1" x14ac:dyDescent="0.25">
      <c r="A120" s="87"/>
      <c r="B120" s="88"/>
      <c r="C120" s="88"/>
      <c r="D120" s="88"/>
      <c r="E120" s="88"/>
      <c r="F120" s="88"/>
      <c r="L120" s="475"/>
    </row>
    <row r="121" spans="1:12" ht="25.5" x14ac:dyDescent="0.2">
      <c r="A121" s="54" t="s">
        <v>276</v>
      </c>
      <c r="B121" s="79">
        <f>SUM(B118:B119)</f>
        <v>0</v>
      </c>
      <c r="C121" s="79">
        <f>SUM(C118:C119)</f>
        <v>0</v>
      </c>
      <c r="D121" s="79">
        <f>SUM(D118:D119)</f>
        <v>0</v>
      </c>
      <c r="E121" s="79">
        <f>SUM(E118:E119)</f>
        <v>0</v>
      </c>
      <c r="F121" s="79">
        <f>SUM(F118:F119)</f>
        <v>0</v>
      </c>
    </row>
    <row r="122" spans="1:12" ht="13.5" thickBot="1" x14ac:dyDescent="0.25">
      <c r="A122" s="41"/>
      <c r="B122" s="75"/>
      <c r="C122" s="75"/>
      <c r="D122" s="75"/>
      <c r="E122" s="75"/>
      <c r="F122" s="75"/>
    </row>
    <row r="123" spans="1:12" ht="13.5" thickTop="1" x14ac:dyDescent="0.2"/>
    <row r="124" spans="1:12" x14ac:dyDescent="0.2">
      <c r="A124" s="504" t="s">
        <v>523</v>
      </c>
      <c r="B124" s="504"/>
      <c r="C124" s="504"/>
      <c r="D124" s="504"/>
      <c r="E124" s="504"/>
      <c r="F124" s="504"/>
    </row>
    <row r="125" spans="1:12" ht="13.5" thickBot="1" x14ac:dyDescent="0.25">
      <c r="A125" s="89"/>
      <c r="B125" s="221"/>
      <c r="C125" s="221"/>
      <c r="D125" s="221"/>
      <c r="E125" s="221"/>
      <c r="F125" s="221"/>
    </row>
    <row r="126" spans="1:12" ht="19.5" customHeight="1" thickBot="1" x14ac:dyDescent="0.3">
      <c r="A126" s="76" t="s">
        <v>429</v>
      </c>
      <c r="B126" s="235" t="s">
        <v>515</v>
      </c>
      <c r="C126" s="236" t="s">
        <v>515</v>
      </c>
      <c r="D126" s="236" t="s">
        <v>515</v>
      </c>
      <c r="E126" s="236" t="s">
        <v>515</v>
      </c>
      <c r="F126" s="236" t="s">
        <v>515</v>
      </c>
    </row>
    <row r="127" spans="1:12" x14ac:dyDescent="0.2">
      <c r="A127" s="220" t="s">
        <v>244</v>
      </c>
      <c r="B127" s="71"/>
      <c r="C127" s="71"/>
      <c r="D127" s="71"/>
      <c r="E127" s="71"/>
      <c r="F127" s="71"/>
    </row>
    <row r="128" spans="1:12" x14ac:dyDescent="0.2">
      <c r="A128" s="67" t="s">
        <v>399</v>
      </c>
      <c r="B128" s="72"/>
      <c r="C128" s="72"/>
      <c r="D128" s="72"/>
      <c r="E128" s="72"/>
      <c r="F128" s="72"/>
    </row>
    <row r="129" spans="1:12" x14ac:dyDescent="0.2">
      <c r="A129" s="220" t="s">
        <v>398</v>
      </c>
      <c r="B129" s="71"/>
      <c r="C129" s="71"/>
      <c r="D129" s="71"/>
      <c r="E129" s="71"/>
      <c r="F129" s="71"/>
    </row>
    <row r="130" spans="1:12" x14ac:dyDescent="0.2">
      <c r="A130" s="67" t="s">
        <v>665</v>
      </c>
      <c r="B130" s="72"/>
      <c r="C130" s="72"/>
      <c r="D130" s="72"/>
      <c r="E130" s="72"/>
      <c r="F130" s="72"/>
    </row>
    <row r="131" spans="1:12" x14ac:dyDescent="0.2">
      <c r="A131" s="495" t="s">
        <v>663</v>
      </c>
      <c r="B131" s="71"/>
      <c r="C131" s="71"/>
      <c r="D131" s="71"/>
      <c r="E131" s="71"/>
      <c r="F131" s="71"/>
    </row>
    <row r="132" spans="1:12" x14ac:dyDescent="0.2">
      <c r="A132" s="67"/>
      <c r="B132" s="72"/>
      <c r="C132" s="72"/>
      <c r="D132" s="72"/>
      <c r="E132" s="72"/>
      <c r="F132" s="72"/>
    </row>
    <row r="133" spans="1:12" x14ac:dyDescent="0.2">
      <c r="B133" s="71"/>
      <c r="C133" s="71"/>
      <c r="D133" s="71"/>
      <c r="E133" s="71"/>
      <c r="F133" s="71"/>
    </row>
    <row r="134" spans="1:12" x14ac:dyDescent="0.2">
      <c r="A134" s="67"/>
      <c r="B134" s="72"/>
      <c r="C134" s="72"/>
      <c r="D134" s="72"/>
      <c r="E134" s="72"/>
      <c r="F134" s="72"/>
    </row>
    <row r="135" spans="1:12" x14ac:dyDescent="0.2">
      <c r="A135" s="220" t="s">
        <v>253</v>
      </c>
      <c r="B135" s="71"/>
      <c r="C135" s="71"/>
      <c r="D135" s="71"/>
      <c r="E135" s="71"/>
      <c r="F135" s="71"/>
    </row>
    <row r="136" spans="1:12" x14ac:dyDescent="0.2">
      <c r="A136" s="67" t="s">
        <v>265</v>
      </c>
      <c r="B136" s="72"/>
      <c r="C136" s="72"/>
      <c r="D136" s="72"/>
      <c r="E136" s="72"/>
      <c r="F136" s="72"/>
    </row>
    <row r="137" spans="1:12" x14ac:dyDescent="0.2">
      <c r="A137" s="220" t="s">
        <v>266</v>
      </c>
      <c r="B137" s="71"/>
      <c r="C137" s="71"/>
      <c r="D137" s="71"/>
      <c r="E137" s="71"/>
      <c r="F137" s="71"/>
    </row>
    <row r="138" spans="1:12" x14ac:dyDescent="0.2">
      <c r="A138" s="67"/>
      <c r="B138" s="72"/>
      <c r="C138" s="72"/>
      <c r="D138" s="72"/>
      <c r="E138" s="72"/>
      <c r="F138" s="72"/>
    </row>
    <row r="139" spans="1:12" x14ac:dyDescent="0.2">
      <c r="A139" s="220" t="s">
        <v>268</v>
      </c>
      <c r="B139" s="71"/>
      <c r="C139" s="71"/>
      <c r="D139" s="71"/>
      <c r="E139" s="71"/>
      <c r="F139" s="71"/>
    </row>
    <row r="140" spans="1:12" x14ac:dyDescent="0.2">
      <c r="A140" s="160" t="s">
        <v>400</v>
      </c>
      <c r="B140" s="72"/>
      <c r="C140" s="72"/>
      <c r="D140" s="72"/>
      <c r="E140" s="72"/>
      <c r="F140" s="72"/>
    </row>
    <row r="141" spans="1:12" x14ac:dyDescent="0.2">
      <c r="A141" s="467" t="s">
        <v>401</v>
      </c>
      <c r="B141" s="71"/>
      <c r="C141" s="71"/>
      <c r="D141" s="71"/>
      <c r="E141" s="71"/>
      <c r="F141" s="71"/>
    </row>
    <row r="142" spans="1:12" s="124" customFormat="1" x14ac:dyDescent="0.2">
      <c r="A142" s="160" t="s">
        <v>505</v>
      </c>
      <c r="B142" s="72"/>
      <c r="C142" s="72"/>
      <c r="D142" s="72"/>
      <c r="E142" s="72"/>
      <c r="F142" s="72"/>
      <c r="G142" s="39"/>
      <c r="H142" s="39"/>
      <c r="I142" s="39"/>
      <c r="J142" s="39"/>
      <c r="K142" s="39"/>
      <c r="L142" s="475"/>
    </row>
    <row r="143" spans="1:12" x14ac:dyDescent="0.2">
      <c r="A143" s="160" t="s">
        <v>267</v>
      </c>
      <c r="B143" s="72"/>
      <c r="C143" s="72"/>
      <c r="D143" s="72"/>
      <c r="E143" s="72"/>
      <c r="F143" s="72"/>
    </row>
    <row r="144" spans="1:12" x14ac:dyDescent="0.2">
      <c r="A144" s="36" t="s">
        <v>269</v>
      </c>
      <c r="B144" s="71"/>
      <c r="C144" s="71"/>
      <c r="D144" s="71"/>
      <c r="E144" s="71"/>
      <c r="F144" s="71"/>
    </row>
    <row r="145" spans="1:12" x14ac:dyDescent="0.2">
      <c r="A145" s="160" t="s">
        <v>270</v>
      </c>
      <c r="B145" s="72"/>
      <c r="C145" s="72"/>
      <c r="D145" s="72"/>
      <c r="E145" s="72"/>
      <c r="F145" s="72"/>
    </row>
    <row r="146" spans="1:12" x14ac:dyDescent="0.2">
      <c r="A146" s="36" t="s">
        <v>271</v>
      </c>
      <c r="B146" s="71"/>
      <c r="C146" s="71"/>
      <c r="D146" s="71"/>
      <c r="E146" s="71"/>
      <c r="F146" s="71"/>
    </row>
    <row r="147" spans="1:12" x14ac:dyDescent="0.2">
      <c r="A147" s="160" t="s">
        <v>272</v>
      </c>
      <c r="B147" s="72"/>
      <c r="C147" s="72"/>
      <c r="D147" s="72"/>
      <c r="E147" s="72"/>
      <c r="F147" s="72"/>
    </row>
    <row r="148" spans="1:12" x14ac:dyDescent="0.2">
      <c r="A148" s="67" t="s">
        <v>273</v>
      </c>
      <c r="B148" s="72"/>
      <c r="C148" s="72"/>
      <c r="D148" s="72"/>
      <c r="E148" s="72"/>
      <c r="F148" s="72"/>
    </row>
    <row r="149" spans="1:12" s="124" customFormat="1" x14ac:dyDescent="0.2">
      <c r="A149" s="67" t="s">
        <v>507</v>
      </c>
      <c r="B149" s="72"/>
      <c r="C149" s="72"/>
      <c r="D149" s="72"/>
      <c r="E149" s="72"/>
      <c r="F149" s="72"/>
      <c r="G149" s="39"/>
      <c r="H149" s="39"/>
      <c r="I149" s="39"/>
      <c r="J149" s="39"/>
      <c r="K149" s="39"/>
      <c r="L149" s="475"/>
    </row>
    <row r="150" spans="1:12" x14ac:dyDescent="0.2">
      <c r="A150" s="67" t="s">
        <v>274</v>
      </c>
      <c r="B150" s="72"/>
      <c r="C150" s="72"/>
      <c r="D150" s="72"/>
      <c r="E150" s="72"/>
      <c r="F150" s="72"/>
    </row>
    <row r="151" spans="1:12" x14ac:dyDescent="0.2">
      <c r="A151" s="67" t="s">
        <v>519</v>
      </c>
      <c r="B151" s="72"/>
      <c r="C151" s="72"/>
      <c r="D151" s="72"/>
      <c r="E151" s="72"/>
      <c r="F151" s="72"/>
    </row>
    <row r="152" spans="1:12" x14ac:dyDescent="0.2">
      <c r="B152" s="71"/>
      <c r="C152" s="71"/>
      <c r="D152" s="71"/>
      <c r="E152" s="71"/>
      <c r="F152" s="71"/>
    </row>
    <row r="153" spans="1:12" x14ac:dyDescent="0.2">
      <c r="A153" s="32" t="s">
        <v>277</v>
      </c>
      <c r="B153" s="237">
        <f>SUM(B127:B151)</f>
        <v>0</v>
      </c>
      <c r="C153" s="42">
        <f>SUM(C127:C151)</f>
        <v>0</v>
      </c>
      <c r="D153" s="237">
        <f>SUM(D127:D151)</f>
        <v>0</v>
      </c>
      <c r="E153" s="42">
        <f>SUM(E127:E151)</f>
        <v>0</v>
      </c>
      <c r="F153" s="79">
        <f>SUM(F127:F151)</f>
        <v>0</v>
      </c>
    </row>
    <row r="154" spans="1:12" ht="13.5" thickBot="1" x14ac:dyDescent="0.25">
      <c r="A154" s="78"/>
      <c r="B154" s="90"/>
      <c r="C154" s="90"/>
      <c r="D154" s="90"/>
      <c r="E154" s="90"/>
      <c r="F154" s="90"/>
    </row>
    <row r="155" spans="1:12" x14ac:dyDescent="0.2">
      <c r="A155" s="122" t="s">
        <v>524</v>
      </c>
      <c r="B155" s="71"/>
      <c r="C155" s="71"/>
      <c r="D155" s="71"/>
      <c r="E155" s="71"/>
      <c r="F155" s="71"/>
    </row>
    <row r="156" spans="1:12" x14ac:dyDescent="0.2">
      <c r="A156" s="91" t="s">
        <v>380</v>
      </c>
      <c r="B156" s="92">
        <f>B153-B121</f>
        <v>0</v>
      </c>
      <c r="C156" s="92">
        <f>C153-C121</f>
        <v>0</v>
      </c>
      <c r="D156" s="92">
        <f>D153-D121</f>
        <v>0</v>
      </c>
      <c r="E156" s="92">
        <f>E153-E121</f>
        <v>0</v>
      </c>
      <c r="F156" s="92">
        <f>F153-F121</f>
        <v>0</v>
      </c>
    </row>
    <row r="157" spans="1:12" ht="13.5" thickBot="1" x14ac:dyDescent="0.25">
      <c r="A157" s="41"/>
      <c r="B157" s="75"/>
      <c r="C157" s="75"/>
      <c r="D157" s="75"/>
      <c r="E157" s="75"/>
      <c r="F157" s="75"/>
    </row>
    <row r="158" spans="1:12" ht="13.5" thickTop="1" x14ac:dyDescent="0.2"/>
    <row r="159" spans="1:12" x14ac:dyDescent="0.2">
      <c r="A159" s="504" t="s">
        <v>516</v>
      </c>
      <c r="B159" s="504"/>
      <c r="C159" s="504"/>
      <c r="D159" s="504"/>
      <c r="E159" s="504"/>
      <c r="F159" s="504"/>
    </row>
    <row r="160" spans="1:12" ht="13.5" thickBot="1" x14ac:dyDescent="0.25">
      <c r="A160" s="89"/>
      <c r="B160" s="89"/>
      <c r="C160" s="89"/>
      <c r="D160" s="89"/>
      <c r="E160" s="89"/>
      <c r="F160" s="89"/>
    </row>
    <row r="161" spans="1:6" ht="13.5" thickBot="1" x14ac:dyDescent="0.25">
      <c r="A161" s="93" t="s">
        <v>509</v>
      </c>
      <c r="B161" s="77"/>
      <c r="C161" s="77"/>
      <c r="D161" s="77"/>
      <c r="E161" s="77"/>
      <c r="F161" s="77"/>
    </row>
    <row r="162" spans="1:6" x14ac:dyDescent="0.2">
      <c r="B162" s="71"/>
      <c r="C162" s="71"/>
      <c r="D162" s="71"/>
      <c r="E162" s="71"/>
      <c r="F162" s="71"/>
    </row>
    <row r="163" spans="1:6" ht="25.5" x14ac:dyDescent="0.2">
      <c r="A163" s="83" t="s">
        <v>392</v>
      </c>
      <c r="B163" s="82">
        <f>B69+B106</f>
        <v>0</v>
      </c>
      <c r="C163" s="82">
        <f>C69+C106</f>
        <v>0</v>
      </c>
      <c r="D163" s="82">
        <f>D69+D106</f>
        <v>0</v>
      </c>
      <c r="E163" s="82">
        <f>E69+E106</f>
        <v>0</v>
      </c>
      <c r="F163" s="82">
        <f>F69+F106</f>
        <v>0</v>
      </c>
    </row>
    <row r="164" spans="1:6" x14ac:dyDescent="0.2">
      <c r="A164" s="238" t="s">
        <v>510</v>
      </c>
      <c r="B164" s="74"/>
      <c r="C164" s="74"/>
      <c r="D164" s="74"/>
      <c r="E164" s="74"/>
      <c r="F164" s="74"/>
    </row>
    <row r="165" spans="1:6" x14ac:dyDescent="0.2">
      <c r="A165" s="238" t="s">
        <v>511</v>
      </c>
      <c r="B165" s="82"/>
      <c r="C165" s="82"/>
      <c r="D165" s="82"/>
      <c r="E165" s="82"/>
      <c r="F165" s="82"/>
    </row>
    <row r="166" spans="1:6" x14ac:dyDescent="0.2">
      <c r="A166" s="68"/>
      <c r="B166" s="74"/>
      <c r="C166" s="74"/>
      <c r="D166" s="74"/>
      <c r="E166" s="74"/>
      <c r="F166" s="74"/>
    </row>
    <row r="167" spans="1:6" ht="25.5" x14ac:dyDescent="0.2">
      <c r="A167" s="83" t="s">
        <v>393</v>
      </c>
      <c r="B167" s="82">
        <f>B118+B69</f>
        <v>0</v>
      </c>
      <c r="C167" s="82">
        <f>C118+C69</f>
        <v>0</v>
      </c>
      <c r="D167" s="82">
        <f>D118+D69</f>
        <v>0</v>
      </c>
      <c r="E167" s="82">
        <f>E118+E69</f>
        <v>0</v>
      </c>
      <c r="F167" s="82">
        <f>F118+F69</f>
        <v>0</v>
      </c>
    </row>
    <row r="168" spans="1:6" x14ac:dyDescent="0.2">
      <c r="A168" s="68" t="s">
        <v>510</v>
      </c>
      <c r="B168" s="74"/>
      <c r="C168" s="74"/>
      <c r="D168" s="74"/>
      <c r="E168" s="74"/>
      <c r="F168" s="74"/>
    </row>
    <row r="169" spans="1:6" x14ac:dyDescent="0.2">
      <c r="A169" s="238" t="s">
        <v>511</v>
      </c>
      <c r="B169" s="82"/>
      <c r="C169" s="82"/>
      <c r="D169" s="82"/>
      <c r="E169" s="82"/>
      <c r="F169" s="82"/>
    </row>
    <row r="170" spans="1:6" x14ac:dyDescent="0.2">
      <c r="B170" s="71"/>
      <c r="C170" s="71"/>
      <c r="D170" s="71"/>
      <c r="E170" s="71"/>
      <c r="F170" s="71"/>
    </row>
    <row r="171" spans="1:6" x14ac:dyDescent="0.2">
      <c r="A171" s="67" t="s">
        <v>394</v>
      </c>
      <c r="B171" s="82">
        <f>B153</f>
        <v>0</v>
      </c>
      <c r="C171" s="82">
        <f>C153</f>
        <v>0</v>
      </c>
      <c r="D171" s="82">
        <f>D153</f>
        <v>0</v>
      </c>
      <c r="E171" s="82">
        <f>E153</f>
        <v>0</v>
      </c>
      <c r="F171" s="82">
        <f>F153</f>
        <v>0</v>
      </c>
    </row>
    <row r="172" spans="1:6" x14ac:dyDescent="0.2">
      <c r="A172" s="238" t="s">
        <v>510</v>
      </c>
      <c r="B172" s="82"/>
      <c r="C172" s="82"/>
      <c r="D172" s="82"/>
      <c r="E172" s="82"/>
      <c r="F172" s="82"/>
    </row>
    <row r="173" spans="1:6" x14ac:dyDescent="0.2">
      <c r="A173" s="238" t="s">
        <v>511</v>
      </c>
      <c r="B173" s="82"/>
      <c r="C173" s="82"/>
      <c r="D173" s="82"/>
      <c r="E173" s="82"/>
      <c r="F173" s="82"/>
    </row>
    <row r="174" spans="1:6" x14ac:dyDescent="0.2">
      <c r="A174" s="32"/>
      <c r="B174" s="80"/>
      <c r="C174" s="80"/>
      <c r="D174" s="80"/>
      <c r="E174" s="80"/>
      <c r="F174" s="80"/>
    </row>
  </sheetData>
  <mergeCells count="8">
    <mergeCell ref="A111:F111"/>
    <mergeCell ref="A124:F124"/>
    <mergeCell ref="A159:F159"/>
    <mergeCell ref="A1:F1"/>
    <mergeCell ref="A9:F9"/>
    <mergeCell ref="A10:F10"/>
    <mergeCell ref="A72:F72"/>
    <mergeCell ref="A41:F41"/>
  </mergeCells>
  <printOptions horizontalCentered="1"/>
  <pageMargins left="0.7" right="0.7" top="0.75" bottom="0.75" header="0.3" footer="0.3"/>
  <pageSetup orientation="portrait" r:id="rId1"/>
  <rowBreaks count="5" manualBreakCount="5">
    <brk id="40" max="5" man="1"/>
    <brk id="71" max="5" man="1"/>
    <brk id="110" max="5" man="1"/>
    <brk id="123" max="5" man="1"/>
    <brk id="15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60"/>
  <sheetViews>
    <sheetView view="pageBreakPreview" zoomScaleNormal="7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159" sqref="A159"/>
    </sheetView>
  </sheetViews>
  <sheetFormatPr defaultColWidth="8.85546875" defaultRowHeight="12.75" x14ac:dyDescent="0.2"/>
  <cols>
    <col min="1" max="1" width="23" style="232" customWidth="1"/>
    <col min="2" max="2" width="9.7109375" style="409" customWidth="1"/>
    <col min="3" max="3" width="8.85546875" style="409" customWidth="1"/>
    <col min="4" max="4" width="9.42578125" style="409" customWidth="1"/>
    <col min="5" max="5" width="6.42578125" style="268" customWidth="1"/>
    <col min="6" max="6" width="6.140625" style="268" customWidth="1"/>
    <col min="7" max="7" width="10.140625" style="295" customWidth="1"/>
    <col min="8" max="9" width="6.7109375" style="295" bestFit="1" customWidth="1"/>
    <col min="10" max="10" width="9.85546875" style="295" customWidth="1"/>
    <col min="11" max="11" width="6.7109375" style="295" bestFit="1" customWidth="1"/>
    <col min="12" max="12" width="6.140625" style="295" bestFit="1" customWidth="1"/>
    <col min="13" max="13" width="10.28515625" style="295" customWidth="1"/>
    <col min="14" max="14" width="6.28515625" style="295" customWidth="1"/>
    <col min="15" max="15" width="6.140625" style="295" bestFit="1" customWidth="1"/>
    <col min="16" max="16" width="9.42578125" style="295" customWidth="1"/>
    <col min="17" max="17" width="6.140625" style="295" customWidth="1"/>
    <col min="18" max="18" width="6.140625" style="295" bestFit="1" customWidth="1"/>
    <col min="19" max="19" width="10.140625" style="295" customWidth="1"/>
    <col min="20" max="20" width="6" style="295" customWidth="1"/>
    <col min="21" max="21" width="6.140625" style="295" bestFit="1" customWidth="1"/>
    <col min="22" max="22" width="9.85546875" style="295" customWidth="1"/>
    <col min="23" max="23" width="6.7109375" style="295" bestFit="1" customWidth="1"/>
    <col min="24" max="24" width="6.140625" style="295" bestFit="1" customWidth="1"/>
    <col min="25" max="25" width="10.7109375" style="295" customWidth="1"/>
    <col min="26" max="26" width="6.7109375" style="295" bestFit="1" customWidth="1"/>
    <col min="27" max="27" width="6.140625" style="295" bestFit="1" customWidth="1"/>
    <col min="28" max="28" width="9.42578125" style="295" customWidth="1"/>
    <col min="29" max="29" width="6.140625" style="295" customWidth="1"/>
    <col min="30" max="30" width="6.140625" style="295" bestFit="1" customWidth="1"/>
    <col min="31" max="31" width="10.140625" style="295" customWidth="1"/>
    <col min="32" max="32" width="6.7109375" style="295" bestFit="1" customWidth="1"/>
    <col min="33" max="33" width="6.140625" style="295" bestFit="1" customWidth="1"/>
    <col min="34" max="34" width="9.85546875" style="295" customWidth="1"/>
    <col min="35" max="35" width="6.28515625" style="295" customWidth="1"/>
    <col min="36" max="36" width="6.140625" style="295" bestFit="1" customWidth="1"/>
    <col min="37" max="37" width="10.7109375" style="295" customWidth="1"/>
    <col min="38" max="38" width="6.42578125" style="295" customWidth="1"/>
    <col min="39" max="39" width="6.140625" style="295" bestFit="1" customWidth="1"/>
    <col min="40" max="40" width="9" style="295" customWidth="1"/>
    <col min="41" max="41" width="6.28515625" style="295" customWidth="1"/>
    <col min="42" max="42" width="5.85546875" style="295" customWidth="1"/>
    <col min="43" max="43" width="9.42578125" style="295" customWidth="1"/>
    <col min="44" max="45" width="5.85546875" style="295" customWidth="1"/>
    <col min="46" max="46" width="9.28515625" style="295" customWidth="1"/>
    <col min="47" max="47" width="5.5703125" style="295" bestFit="1" customWidth="1"/>
    <col min="48" max="48" width="6" style="295" customWidth="1"/>
    <col min="49" max="49" width="9.5703125" style="295" customWidth="1"/>
    <col min="50" max="50" width="6.7109375" style="295" bestFit="1" customWidth="1"/>
    <col min="51" max="51" width="5.7109375" style="295" customWidth="1"/>
    <col min="52" max="52" width="8.42578125" style="295" customWidth="1"/>
    <col min="53" max="53" width="5.85546875" style="295" customWidth="1"/>
    <col min="54" max="54" width="6.140625" style="295" bestFit="1" customWidth="1"/>
    <col min="55" max="55" width="8.28515625" style="295" customWidth="1"/>
    <col min="56" max="56" width="6" style="295" customWidth="1"/>
    <col min="57" max="57" width="6.140625" style="295" bestFit="1" customWidth="1"/>
    <col min="58" max="58" width="8.42578125" style="295" customWidth="1"/>
    <col min="59" max="59" width="6" style="295" customWidth="1"/>
    <col min="60" max="60" width="6.140625" style="295" bestFit="1" customWidth="1"/>
    <col min="61" max="61" width="8.42578125" style="295" customWidth="1"/>
    <col min="62" max="62" width="6" style="295" customWidth="1"/>
    <col min="63" max="63" width="6.140625" style="295" bestFit="1" customWidth="1"/>
    <col min="64" max="64" width="9" style="295" customWidth="1"/>
    <col min="65" max="65" width="6.7109375" style="295" bestFit="1" customWidth="1"/>
    <col min="66" max="16384" width="8.85546875" style="220"/>
  </cols>
  <sheetData>
    <row r="1" spans="1:65" ht="13.15" customHeight="1" x14ac:dyDescent="0.2">
      <c r="A1" s="519" t="s">
        <v>556</v>
      </c>
      <c r="B1" s="519"/>
      <c r="C1" s="519"/>
      <c r="D1" s="373"/>
      <c r="E1" s="267"/>
      <c r="F1" s="267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4"/>
      <c r="AJ1" s="294"/>
      <c r="AK1" s="294"/>
      <c r="AL1" s="294"/>
      <c r="AM1" s="294"/>
      <c r="AN1" s="294"/>
      <c r="AO1" s="294"/>
      <c r="AP1" s="294"/>
      <c r="AQ1" s="294"/>
      <c r="AR1" s="294"/>
      <c r="AS1" s="294"/>
      <c r="AT1" s="294"/>
      <c r="AU1" s="294"/>
      <c r="AV1" s="294"/>
      <c r="AW1" s="294"/>
      <c r="AX1" s="294"/>
      <c r="AY1" s="294"/>
      <c r="AZ1" s="294"/>
      <c r="BA1" s="294"/>
      <c r="BB1" s="294"/>
      <c r="BC1" s="294"/>
      <c r="BD1" s="294"/>
      <c r="BE1" s="294"/>
      <c r="BF1" s="294"/>
      <c r="BG1" s="294"/>
      <c r="BH1" s="294"/>
      <c r="BI1" s="294"/>
      <c r="BJ1" s="294"/>
      <c r="BK1" s="294"/>
      <c r="BL1" s="294"/>
      <c r="BM1" s="294"/>
    </row>
    <row r="2" spans="1:65" s="257" customFormat="1" ht="15" customHeight="1" thickBot="1" x14ac:dyDescent="0.25">
      <c r="A2" s="330"/>
      <c r="B2" s="254" t="s">
        <v>549</v>
      </c>
      <c r="C2" s="478" t="s">
        <v>550</v>
      </c>
      <c r="D2" s="255" t="s">
        <v>537</v>
      </c>
      <c r="E2" s="452"/>
      <c r="F2" s="452"/>
      <c r="G2" s="78"/>
      <c r="H2" s="78"/>
      <c r="I2" s="78"/>
      <c r="P2" s="78" t="s">
        <v>547</v>
      </c>
      <c r="Q2" s="78"/>
      <c r="R2" s="78"/>
      <c r="S2" s="78"/>
      <c r="T2" s="78"/>
      <c r="U2" s="78"/>
      <c r="AB2" s="78" t="s">
        <v>546</v>
      </c>
      <c r="AC2" s="78"/>
      <c r="AD2" s="78"/>
      <c r="AE2" s="78"/>
      <c r="AF2" s="78"/>
      <c r="AG2" s="78"/>
      <c r="AN2" s="78" t="s">
        <v>545</v>
      </c>
      <c r="AO2" s="78"/>
      <c r="AP2" s="78"/>
      <c r="AQ2" s="78"/>
      <c r="AR2" s="78"/>
      <c r="AS2" s="78"/>
      <c r="AZ2" s="257" t="s">
        <v>551</v>
      </c>
    </row>
    <row r="3" spans="1:65" s="295" customFormat="1" ht="15" customHeight="1" thickBot="1" x14ac:dyDescent="0.25">
      <c r="A3" s="453"/>
      <c r="B3" s="374"/>
      <c r="C3" s="374"/>
      <c r="D3" s="510" t="s">
        <v>538</v>
      </c>
      <c r="E3" s="511"/>
      <c r="F3" s="512"/>
      <c r="G3" s="510" t="s">
        <v>538</v>
      </c>
      <c r="H3" s="511"/>
      <c r="I3" s="512"/>
      <c r="J3" s="511" t="s">
        <v>538</v>
      </c>
      <c r="K3" s="511"/>
      <c r="L3" s="511"/>
      <c r="M3" s="513" t="s">
        <v>537</v>
      </c>
      <c r="N3" s="514"/>
      <c r="O3" s="515"/>
      <c r="P3" s="510" t="s">
        <v>538</v>
      </c>
      <c r="Q3" s="511"/>
      <c r="R3" s="512"/>
      <c r="S3" s="510" t="s">
        <v>538</v>
      </c>
      <c r="T3" s="511"/>
      <c r="U3" s="512"/>
      <c r="V3" s="511" t="s">
        <v>538</v>
      </c>
      <c r="W3" s="511"/>
      <c r="X3" s="511"/>
      <c r="Y3" s="513" t="s">
        <v>547</v>
      </c>
      <c r="Z3" s="514"/>
      <c r="AA3" s="515"/>
      <c r="AB3" s="510" t="s">
        <v>538</v>
      </c>
      <c r="AC3" s="511"/>
      <c r="AD3" s="512"/>
      <c r="AE3" s="510" t="s">
        <v>538</v>
      </c>
      <c r="AF3" s="511"/>
      <c r="AG3" s="512"/>
      <c r="AH3" s="510" t="s">
        <v>538</v>
      </c>
      <c r="AI3" s="511"/>
      <c r="AJ3" s="512"/>
      <c r="AK3" s="513" t="s">
        <v>546</v>
      </c>
      <c r="AL3" s="514"/>
      <c r="AM3" s="515"/>
      <c r="AN3" s="510" t="s">
        <v>538</v>
      </c>
      <c r="AO3" s="511"/>
      <c r="AP3" s="512"/>
      <c r="AQ3" s="510" t="s">
        <v>538</v>
      </c>
      <c r="AR3" s="511"/>
      <c r="AS3" s="512"/>
      <c r="AT3" s="510" t="s">
        <v>538</v>
      </c>
      <c r="AU3" s="511"/>
      <c r="AV3" s="512"/>
      <c r="AW3" s="513" t="s">
        <v>545</v>
      </c>
      <c r="AX3" s="514"/>
      <c r="AY3" s="515"/>
      <c r="AZ3" s="513" t="s">
        <v>537</v>
      </c>
      <c r="BA3" s="514"/>
      <c r="BB3" s="515"/>
      <c r="BC3" s="513" t="s">
        <v>547</v>
      </c>
      <c r="BD3" s="514"/>
      <c r="BE3" s="515"/>
      <c r="BF3" s="513" t="s">
        <v>546</v>
      </c>
      <c r="BG3" s="514"/>
      <c r="BH3" s="515"/>
      <c r="BI3" s="513" t="s">
        <v>545</v>
      </c>
      <c r="BJ3" s="514"/>
      <c r="BK3" s="515"/>
      <c r="BL3" s="375" t="s">
        <v>548</v>
      </c>
      <c r="BM3" s="376"/>
    </row>
    <row r="4" spans="1:65" s="295" customFormat="1" ht="18" customHeight="1" thickBot="1" x14ac:dyDescent="0.25">
      <c r="A4" s="454"/>
      <c r="B4" s="377" t="s">
        <v>541</v>
      </c>
      <c r="C4" s="378" t="s">
        <v>540</v>
      </c>
      <c r="D4" s="379" t="s">
        <v>539</v>
      </c>
      <c r="E4" s="280" t="s">
        <v>542</v>
      </c>
      <c r="F4" s="281" t="s">
        <v>543</v>
      </c>
      <c r="G4" s="375" t="s">
        <v>539</v>
      </c>
      <c r="H4" s="298" t="s">
        <v>542</v>
      </c>
      <c r="I4" s="299" t="s">
        <v>543</v>
      </c>
      <c r="J4" s="375" t="s">
        <v>539</v>
      </c>
      <c r="K4" s="298" t="s">
        <v>542</v>
      </c>
      <c r="L4" s="299" t="s">
        <v>543</v>
      </c>
      <c r="M4" s="375" t="s">
        <v>539</v>
      </c>
      <c r="N4" s="298" t="s">
        <v>544</v>
      </c>
      <c r="O4" s="299" t="s">
        <v>543</v>
      </c>
      <c r="P4" s="375" t="s">
        <v>539</v>
      </c>
      <c r="Q4" s="298" t="s">
        <v>542</v>
      </c>
      <c r="R4" s="299" t="s">
        <v>543</v>
      </c>
      <c r="S4" s="375" t="s">
        <v>539</v>
      </c>
      <c r="T4" s="298" t="s">
        <v>542</v>
      </c>
      <c r="U4" s="299" t="s">
        <v>543</v>
      </c>
      <c r="V4" s="375" t="s">
        <v>539</v>
      </c>
      <c r="W4" s="298" t="s">
        <v>542</v>
      </c>
      <c r="X4" s="299" t="s">
        <v>543</v>
      </c>
      <c r="Y4" s="375" t="s">
        <v>539</v>
      </c>
      <c r="Z4" s="298" t="s">
        <v>544</v>
      </c>
      <c r="AA4" s="299" t="s">
        <v>543</v>
      </c>
      <c r="AB4" s="375" t="s">
        <v>539</v>
      </c>
      <c r="AC4" s="298" t="s">
        <v>542</v>
      </c>
      <c r="AD4" s="299" t="s">
        <v>543</v>
      </c>
      <c r="AE4" s="375" t="s">
        <v>539</v>
      </c>
      <c r="AF4" s="298" t="s">
        <v>542</v>
      </c>
      <c r="AG4" s="299" t="s">
        <v>543</v>
      </c>
      <c r="AH4" s="375" t="s">
        <v>539</v>
      </c>
      <c r="AI4" s="298" t="s">
        <v>542</v>
      </c>
      <c r="AJ4" s="299" t="s">
        <v>543</v>
      </c>
      <c r="AK4" s="375" t="s">
        <v>539</v>
      </c>
      <c r="AL4" s="298" t="s">
        <v>544</v>
      </c>
      <c r="AM4" s="299" t="s">
        <v>543</v>
      </c>
      <c r="AN4" s="375" t="s">
        <v>539</v>
      </c>
      <c r="AO4" s="298" t="s">
        <v>542</v>
      </c>
      <c r="AP4" s="299" t="s">
        <v>543</v>
      </c>
      <c r="AQ4" s="375" t="s">
        <v>539</v>
      </c>
      <c r="AR4" s="298" t="s">
        <v>542</v>
      </c>
      <c r="AS4" s="299" t="s">
        <v>543</v>
      </c>
      <c r="AT4" s="375" t="s">
        <v>539</v>
      </c>
      <c r="AU4" s="298" t="s">
        <v>542</v>
      </c>
      <c r="AV4" s="299" t="s">
        <v>543</v>
      </c>
      <c r="AW4" s="375" t="s">
        <v>539</v>
      </c>
      <c r="AX4" s="298" t="s">
        <v>544</v>
      </c>
      <c r="AY4" s="299" t="s">
        <v>543</v>
      </c>
      <c r="AZ4" s="375" t="s">
        <v>539</v>
      </c>
      <c r="BA4" s="298" t="s">
        <v>544</v>
      </c>
      <c r="BB4" s="299" t="s">
        <v>543</v>
      </c>
      <c r="BC4" s="375" t="s">
        <v>539</v>
      </c>
      <c r="BD4" s="298" t="s">
        <v>544</v>
      </c>
      <c r="BE4" s="298" t="s">
        <v>543</v>
      </c>
      <c r="BF4" s="375" t="s">
        <v>539</v>
      </c>
      <c r="BG4" s="298" t="s">
        <v>544</v>
      </c>
      <c r="BH4" s="298" t="s">
        <v>543</v>
      </c>
      <c r="BI4" s="375" t="s">
        <v>539</v>
      </c>
      <c r="BJ4" s="298" t="s">
        <v>544</v>
      </c>
      <c r="BK4" s="298" t="s">
        <v>543</v>
      </c>
      <c r="BL4" s="375" t="s">
        <v>539</v>
      </c>
      <c r="BM4" s="299" t="s">
        <v>543</v>
      </c>
    </row>
    <row r="5" spans="1:65" s="233" customFormat="1" ht="16.5" customHeight="1" thickBot="1" x14ac:dyDescent="0.25">
      <c r="A5" s="507" t="s">
        <v>86</v>
      </c>
      <c r="B5" s="508"/>
      <c r="C5" s="509"/>
      <c r="D5" s="379"/>
      <c r="E5" s="280"/>
      <c r="F5" s="281"/>
      <c r="G5" s="375"/>
      <c r="H5" s="298"/>
      <c r="I5" s="299"/>
      <c r="J5" s="375"/>
      <c r="K5" s="298"/>
      <c r="L5" s="299"/>
      <c r="M5" s="375"/>
      <c r="N5" s="298"/>
      <c r="O5" s="299"/>
      <c r="P5" s="375"/>
      <c r="Q5" s="298"/>
      <c r="R5" s="298"/>
      <c r="S5" s="375"/>
      <c r="T5" s="298"/>
      <c r="U5" s="299"/>
      <c r="V5" s="380"/>
      <c r="W5" s="298"/>
      <c r="X5" s="298"/>
      <c r="Y5" s="375"/>
      <c r="Z5" s="298"/>
      <c r="AA5" s="299"/>
      <c r="AB5" s="375"/>
      <c r="AC5" s="298"/>
      <c r="AD5" s="299"/>
      <c r="AE5" s="375"/>
      <c r="AF5" s="298"/>
      <c r="AG5" s="299"/>
      <c r="AH5" s="375"/>
      <c r="AI5" s="298"/>
      <c r="AJ5" s="299"/>
      <c r="AK5" s="375"/>
      <c r="AL5" s="298"/>
      <c r="AM5" s="299"/>
      <c r="AN5" s="375"/>
      <c r="AO5" s="298"/>
      <c r="AP5" s="299"/>
      <c r="AQ5" s="375"/>
      <c r="AR5" s="298"/>
      <c r="AS5" s="299"/>
      <c r="AT5" s="375"/>
      <c r="AU5" s="298"/>
      <c r="AV5" s="299"/>
      <c r="AW5" s="375"/>
      <c r="AX5" s="298"/>
      <c r="AY5" s="299"/>
      <c r="AZ5" s="375"/>
      <c r="BA5" s="298"/>
      <c r="BB5" s="299"/>
      <c r="BC5" s="375"/>
      <c r="BD5" s="298"/>
      <c r="BE5" s="298"/>
      <c r="BF5" s="375"/>
      <c r="BG5" s="298"/>
      <c r="BH5" s="298"/>
      <c r="BI5" s="375"/>
      <c r="BJ5" s="298"/>
      <c r="BK5" s="298"/>
      <c r="BL5" s="375"/>
      <c r="BM5" s="299"/>
    </row>
    <row r="6" spans="1:65" s="233" customFormat="1" ht="12" x14ac:dyDescent="0.2">
      <c r="A6" s="337" t="s">
        <v>81</v>
      </c>
      <c r="B6" s="381"/>
      <c r="C6" s="382">
        <f>ROUND(B6/12,0)</f>
        <v>0</v>
      </c>
      <c r="D6" s="381"/>
      <c r="E6" s="258" t="str">
        <f t="shared" ref="E6:E28" si="0">IFERROR(ROUND((D6-C6)/C6,3),"0.0%")</f>
        <v>0.0%</v>
      </c>
      <c r="F6" s="259" t="str">
        <f>IFERROR(ROUND((D6-C6)/C6,3),"0.0%")</f>
        <v>0.0%</v>
      </c>
      <c r="G6" s="381"/>
      <c r="H6" s="258" t="str">
        <f>IFERROR(ROUND((G6-C6)/C6,3),"0.0%")</f>
        <v>0.0%</v>
      </c>
      <c r="I6" s="259" t="str">
        <f>IFERROR(ROUND(((G6+D6)-(C6*2))/(C6*2),3),"0.0%")</f>
        <v>0.0%</v>
      </c>
      <c r="J6" s="381"/>
      <c r="K6" s="258" t="str">
        <f t="shared" ref="K6:K28" si="1">IFERROR(ROUND((J6-C6)/C6,3),"0.0%")</f>
        <v>0.0%</v>
      </c>
      <c r="L6" s="259" t="str">
        <f t="shared" ref="L6:L28" si="2">IFERROR(ROUND(((J6+G6+D6)-(C6*3))/(C6*3),3),"0.0%")</f>
        <v>0.0%</v>
      </c>
      <c r="M6" s="366">
        <f>ROUND(D6+G6+J6,0)</f>
        <v>0</v>
      </c>
      <c r="N6" s="258" t="str">
        <f>IFERROR(ROUND((M6-(C6*3))/(C6*3),3),"0.0%")</f>
        <v>0.0%</v>
      </c>
      <c r="O6" s="306" t="str">
        <f>IFERROR(ROUND(((M6)-(C6*3))/(C6*3),3),"0.0%")</f>
        <v>0.0%</v>
      </c>
      <c r="P6" s="365"/>
      <c r="Q6" s="258" t="str">
        <f>IFERROR(ROUND((P6-C6)/C6,3),"0.0%")</f>
        <v>0.0%</v>
      </c>
      <c r="R6" s="259" t="str">
        <f>IFERROR(ROUND(((P6+M6)-(C6*4))/(C6*4),3),"0.0%")</f>
        <v>0.0%</v>
      </c>
      <c r="S6" s="381"/>
      <c r="T6" s="258" t="str">
        <f t="shared" ref="T6:T28" si="3">IFERROR(ROUND((S6-C6)/C6,3),"0.0%")</f>
        <v>0.0%</v>
      </c>
      <c r="U6" s="306" t="str">
        <f t="shared" ref="U6:U28" si="4">IFERROR(ROUND(((S6+P6+M6)-(C6*5))/(C6*5),3),"0.0%")</f>
        <v>0.0%</v>
      </c>
      <c r="V6" s="383"/>
      <c r="W6" s="258" t="str">
        <f>IFERROR(ROUND((V6-C6)/C6,3),"0.0%")</f>
        <v>0.0%</v>
      </c>
      <c r="X6" s="259" t="str">
        <f>IFERROR(ROUND(((V6+S6+P6+M6)-(C6*6))/(C6*6),3),"0.0%")</f>
        <v>0.0%</v>
      </c>
      <c r="Y6" s="384">
        <f>ROUND(V6+S6+P6,0)</f>
        <v>0</v>
      </c>
      <c r="Z6" s="258" t="str">
        <f>IFERROR(ROUND((Y6-(C6*3))/(C6*3),3),"0.0%")</f>
        <v>0.0%</v>
      </c>
      <c r="AA6" s="306" t="str">
        <f>IFERROR(ROUND(((Y6+M6)-(C6*6))/(C6*6),3),"0.0%")</f>
        <v>0.0%</v>
      </c>
      <c r="AB6" s="381"/>
      <c r="AC6" s="258" t="str">
        <f t="shared" ref="AC6:AC28" si="5">IFERROR(ROUND((AB6-C6)/C6,3),"0.0%")</f>
        <v>0.0%</v>
      </c>
      <c r="AD6" s="306" t="str">
        <f t="shared" ref="AD6:AD28" si="6">IFERROR(ROUND(((AB6+Y6+M6)-(C6*7))/(C6*7),3),"0.0%")</f>
        <v>0.0%</v>
      </c>
      <c r="AE6" s="381"/>
      <c r="AF6" s="258" t="str">
        <f t="shared" ref="AF6:AF28" si="7">IFERROR(ROUND((AE6-C6)/C6,3),"0.0%")</f>
        <v>0.0%</v>
      </c>
      <c r="AG6" s="306" t="str">
        <f t="shared" ref="AG6:AG28" si="8">IFERROR(ROUND(((AE6+AB6+Y6+M6)-(C6*8))/(C6*8),3),"0.0%")</f>
        <v>0.0%</v>
      </c>
      <c r="AH6" s="381"/>
      <c r="AI6" s="258" t="str">
        <f>IFERROR(ROUND((AH6-C6)/C6,3),"0.0%")</f>
        <v>0.0%</v>
      </c>
      <c r="AJ6" s="306" t="str">
        <f>IFERROR(ROUND(((AH6+AE6+AB6+Y6+M6)-(C6*9))/(C6*9),3),"0.0%")</f>
        <v>0.0%</v>
      </c>
      <c r="AK6" s="385">
        <f>SUM(AB6+AE6+AH6,0)</f>
        <v>0</v>
      </c>
      <c r="AL6" s="318" t="str">
        <f t="shared" ref="AL6:AL28" si="9">IFERROR(ROUND((AK6-(C6*3))/(C6*3),3),"0.0%")</f>
        <v>0.0%</v>
      </c>
      <c r="AM6" s="319" t="str">
        <f t="shared" ref="AM6:AM28" si="10">IFERROR(ROUND(((AK6+Y6+M6)-(C6*9))/(C6*9),3),"0.0%")</f>
        <v>0.0%</v>
      </c>
      <c r="AN6" s="381"/>
      <c r="AO6" s="258" t="str">
        <f>IFERROR(ROUND((AN6-C6)/C6,3),"0.0%")</f>
        <v>0.0%</v>
      </c>
      <c r="AP6" s="306" t="str">
        <f>IFERROR(ROUND(((AN6+AK6+Y6+M6)-(C6*10))/(C6*10),3),"0.0%")</f>
        <v>0.0%</v>
      </c>
      <c r="AQ6" s="381"/>
      <c r="AR6" s="258" t="str">
        <f t="shared" ref="AR6:AR28" si="11">IFERROR(ROUND((AQ6-C6)/C6,3),"0.0%")</f>
        <v>0.0%</v>
      </c>
      <c r="AS6" s="306" t="str">
        <f t="shared" ref="AS6:AS28" si="12">IFERROR(ROUND(((AQ6+AN6+AK6+Y6+M6)-(C6*11))/(C6*11),3),"0.0%")</f>
        <v>0.0%</v>
      </c>
      <c r="AT6" s="381"/>
      <c r="AU6" s="258" t="str">
        <f>IFERROR(ROUND((AT6-C6)/C6,3),"0.0%")</f>
        <v>0.0%</v>
      </c>
      <c r="AV6" s="306" t="str">
        <f>IFERROR(ROUND(((AT6+AQ6+AN6+AK6+Y6+M6)-(C6*12))/(C6*12),3),"0.0%")</f>
        <v>0.0%</v>
      </c>
      <c r="AW6" s="384">
        <f>ROUND(AT6+AQ6+AN6,0)</f>
        <v>0</v>
      </c>
      <c r="AX6" s="258" t="str">
        <f t="shared" ref="AX6:AX28" si="13">IFERROR(ROUND((AW6-(C6*3))/(C6*3),3),"0.0%")</f>
        <v>0.0%</v>
      </c>
      <c r="AY6" s="306" t="str">
        <f t="shared" ref="AY6:AY28" si="14">IFERROR(ROUND(((AW6+AK6+Y6+M6)-(C6*12))/(C6*12),3),"0.0%")</f>
        <v>0.0%</v>
      </c>
      <c r="AZ6" s="384">
        <f>M6</f>
        <v>0</v>
      </c>
      <c r="BA6" s="258" t="str">
        <f>N6</f>
        <v>0.0%</v>
      </c>
      <c r="BB6" s="306" t="str">
        <f>O6</f>
        <v>0.0%</v>
      </c>
      <c r="BC6" s="384">
        <f>Y6</f>
        <v>0</v>
      </c>
      <c r="BD6" s="258" t="str">
        <f>Z6</f>
        <v>0.0%</v>
      </c>
      <c r="BE6" s="259" t="str">
        <f>AA6</f>
        <v>0.0%</v>
      </c>
      <c r="BF6" s="384">
        <f>AK6</f>
        <v>0</v>
      </c>
      <c r="BG6" s="258" t="str">
        <f>AL6</f>
        <v>0.0%</v>
      </c>
      <c r="BH6" s="259" t="str">
        <f>AM6</f>
        <v>0.0%</v>
      </c>
      <c r="BI6" s="384">
        <f>AW6</f>
        <v>0</v>
      </c>
      <c r="BJ6" s="258" t="str">
        <f>AX6</f>
        <v>0.0%</v>
      </c>
      <c r="BK6" s="259" t="str">
        <f>AY6</f>
        <v>0.0%</v>
      </c>
      <c r="BL6" s="384">
        <f>ROUND(AZ6+BC6+BF6+BI6,0)</f>
        <v>0</v>
      </c>
      <c r="BM6" s="306" t="str">
        <f>IFERROR(ROUND((BL6-B6)/B6,3),"0.0%")</f>
        <v>0.0%</v>
      </c>
    </row>
    <row r="7" spans="1:65" s="233" customFormat="1" ht="12" x14ac:dyDescent="0.2">
      <c r="A7" s="249" t="s">
        <v>82</v>
      </c>
      <c r="B7" s="386"/>
      <c r="C7" s="387">
        <f t="shared" ref="C7:C31" si="15">ROUND(B7/12,0)</f>
        <v>0</v>
      </c>
      <c r="D7" s="386"/>
      <c r="E7" s="260" t="str">
        <f t="shared" si="0"/>
        <v>0.0%</v>
      </c>
      <c r="F7" s="261" t="str">
        <f t="shared" ref="F7:F29" si="16">IFERROR(ROUND((D7-C7)/C7,3),"0.0%")</f>
        <v>0.0%</v>
      </c>
      <c r="G7" s="386"/>
      <c r="H7" s="260" t="str">
        <f t="shared" ref="H7:H29" si="17">IFERROR(ROUND((G7-C7)/C7,3),"0.0%")</f>
        <v>0.0%</v>
      </c>
      <c r="I7" s="261" t="str">
        <f t="shared" ref="I7:I29" si="18">IFERROR(ROUND(((G7+D7)-(C7*2))/(C7*2),3),"0.0%")</f>
        <v>0.0%</v>
      </c>
      <c r="J7" s="386"/>
      <c r="K7" s="260" t="str">
        <f t="shared" si="1"/>
        <v>0.0%</v>
      </c>
      <c r="L7" s="261" t="str">
        <f t="shared" si="2"/>
        <v>0.0%</v>
      </c>
      <c r="M7" s="388">
        <f t="shared" ref="M7:M15" si="19">ROUND(D7+G7+J7,0)</f>
        <v>0</v>
      </c>
      <c r="N7" s="260" t="str">
        <f t="shared" ref="N7:N29" si="20">IFERROR(ROUND((M7-(C7*3))/(C7*3),3),"0.0%")</f>
        <v>0.0%</v>
      </c>
      <c r="O7" s="307" t="str">
        <f t="shared" ref="O7:O31" si="21">IFERROR(ROUND(((M7)-(C7*3))/(C7*3),3),"0.0%")</f>
        <v>0.0%</v>
      </c>
      <c r="P7" s="389"/>
      <c r="Q7" s="260" t="str">
        <f t="shared" ref="Q7:Q29" si="22">IFERROR(ROUND((P7-C7)/C7,3),"0.0%")</f>
        <v>0.0%</v>
      </c>
      <c r="R7" s="261" t="str">
        <f t="shared" ref="R7:R31" si="23">IFERROR(ROUND(((P7+M7)-(C7*4))/(C7*4),3),"0.0%")</f>
        <v>0.0%</v>
      </c>
      <c r="S7" s="386"/>
      <c r="T7" s="260" t="str">
        <f t="shared" si="3"/>
        <v>0.0%</v>
      </c>
      <c r="U7" s="307" t="str">
        <f t="shared" si="4"/>
        <v>0.0%</v>
      </c>
      <c r="V7" s="390"/>
      <c r="W7" s="260" t="str">
        <f t="shared" ref="W7:W31" si="24">IFERROR(ROUND((V7-C7)/C7,3),"0.0%")</f>
        <v>0.0%</v>
      </c>
      <c r="X7" s="261" t="str">
        <f t="shared" ref="X7:X31" si="25">IFERROR(ROUND(((V7+S7+P7+M7)-(C7*6))/(C7*6),3),"0.0%")</f>
        <v>0.0%</v>
      </c>
      <c r="Y7" s="391">
        <f t="shared" ref="Y7:Y15" si="26">ROUND(V7+S7+P7,0)</f>
        <v>0</v>
      </c>
      <c r="Z7" s="260" t="str">
        <f t="shared" ref="Z7:Z29" si="27">IFERROR(ROUND((Y7-(C7*3))/(C7*3),3),"0.0%")</f>
        <v>0.0%</v>
      </c>
      <c r="AA7" s="307" t="str">
        <f t="shared" ref="AA7:AA29" si="28">IFERROR(ROUND(((Y7+M7)-(C7*6))/(C7*6),3),"0.0%")</f>
        <v>0.0%</v>
      </c>
      <c r="AB7" s="386"/>
      <c r="AC7" s="260" t="str">
        <f t="shared" si="5"/>
        <v>0.0%</v>
      </c>
      <c r="AD7" s="307" t="str">
        <f t="shared" si="6"/>
        <v>0.0%</v>
      </c>
      <c r="AE7" s="386"/>
      <c r="AF7" s="260" t="str">
        <f t="shared" si="7"/>
        <v>0.0%</v>
      </c>
      <c r="AG7" s="307" t="str">
        <f t="shared" si="8"/>
        <v>0.0%</v>
      </c>
      <c r="AH7" s="386"/>
      <c r="AI7" s="260" t="str">
        <f t="shared" ref="AI7:AI31" si="29">IFERROR(ROUND((AH7-C7)/C7,3),"0.0%")</f>
        <v>0.0%</v>
      </c>
      <c r="AJ7" s="307" t="str">
        <f t="shared" ref="AJ7:AJ31" si="30">IFERROR(ROUND(((AH7+AE7+AB7+Y7+M7)-(C7*9))/(C7*9),3),"0.0%")</f>
        <v>0.0%</v>
      </c>
      <c r="AK7" s="392">
        <f t="shared" ref="AK7:AK29" si="31">SUM(AB7+AE7+AH7,0)</f>
        <v>0</v>
      </c>
      <c r="AL7" s="320" t="str">
        <f t="shared" si="9"/>
        <v>0.0%</v>
      </c>
      <c r="AM7" s="321" t="str">
        <f t="shared" si="10"/>
        <v>0.0%</v>
      </c>
      <c r="AN7" s="386"/>
      <c r="AO7" s="260" t="str">
        <f t="shared" ref="AO7:AO31" si="32">IFERROR(ROUND((AN7-C7)/C7,3),"0.0%")</f>
        <v>0.0%</v>
      </c>
      <c r="AP7" s="307" t="str">
        <f t="shared" ref="AP7:AP31" si="33">IFERROR(ROUND(((AN7+AK7+Y7+M7)-(C7*10))/(C7*10),3),"0.0%")</f>
        <v>0.0%</v>
      </c>
      <c r="AQ7" s="386"/>
      <c r="AR7" s="260" t="str">
        <f t="shared" si="11"/>
        <v>0.0%</v>
      </c>
      <c r="AS7" s="307" t="str">
        <f t="shared" si="12"/>
        <v>0.0%</v>
      </c>
      <c r="AT7" s="386"/>
      <c r="AU7" s="260" t="str">
        <f t="shared" ref="AU7:AU31" si="34">IFERROR(ROUND((AT7-C7)/C7,3),"0.0%")</f>
        <v>0.0%</v>
      </c>
      <c r="AV7" s="307" t="str">
        <f t="shared" ref="AV7:AV31" si="35">IFERROR(ROUND(((AT7+AQ7+AN7+AK7+Y7+M7)-(C7*12))/(C7*12),3),"0.0%")</f>
        <v>0.0%</v>
      </c>
      <c r="AW7" s="391">
        <f t="shared" ref="AW7:AW15" si="36">ROUND(AT7+AQ7+AN7,0)</f>
        <v>0</v>
      </c>
      <c r="AX7" s="260" t="str">
        <f t="shared" si="13"/>
        <v>0.0%</v>
      </c>
      <c r="AY7" s="307" t="str">
        <f t="shared" si="14"/>
        <v>0.0%</v>
      </c>
      <c r="AZ7" s="391">
        <f t="shared" ref="AZ7:AZ29" si="37">M7</f>
        <v>0</v>
      </c>
      <c r="BA7" s="260" t="str">
        <f t="shared" ref="BA7:BA29" si="38">N7</f>
        <v>0.0%</v>
      </c>
      <c r="BB7" s="307" t="str">
        <f t="shared" ref="BB7:BB29" si="39">O7</f>
        <v>0.0%</v>
      </c>
      <c r="BC7" s="391">
        <f t="shared" ref="BC7:BC29" si="40">Y7</f>
        <v>0</v>
      </c>
      <c r="BD7" s="260" t="str">
        <f t="shared" ref="BD7:BD29" si="41">Z7</f>
        <v>0.0%</v>
      </c>
      <c r="BE7" s="261" t="str">
        <f t="shared" ref="BE7:BE29" si="42">AA7</f>
        <v>0.0%</v>
      </c>
      <c r="BF7" s="391">
        <f t="shared" ref="BF7:BF29" si="43">AK7</f>
        <v>0</v>
      </c>
      <c r="BG7" s="260" t="str">
        <f t="shared" ref="BG7:BG29" si="44">AL7</f>
        <v>0.0%</v>
      </c>
      <c r="BH7" s="261" t="str">
        <f t="shared" ref="BH7:BH29" si="45">AM7</f>
        <v>0.0%</v>
      </c>
      <c r="BI7" s="391">
        <f t="shared" ref="BI7:BI29" si="46">AW7</f>
        <v>0</v>
      </c>
      <c r="BJ7" s="260" t="str">
        <f t="shared" ref="BJ7:BJ29" si="47">AX7</f>
        <v>0.0%</v>
      </c>
      <c r="BK7" s="261" t="str">
        <f t="shared" ref="BK7:BK29" si="48">AY7</f>
        <v>0.0%</v>
      </c>
      <c r="BL7" s="391">
        <f t="shared" ref="BL7:BL29" si="49">ROUND(AZ7+BC7+BF7+BI7,0)</f>
        <v>0</v>
      </c>
      <c r="BM7" s="307" t="str">
        <f t="shared" ref="BM7:BM29" si="50">IFERROR(ROUND((BL7-B7)/B7,3),"0.0%")</f>
        <v>0.0%</v>
      </c>
    </row>
    <row r="8" spans="1:65" s="233" customFormat="1" ht="12" x14ac:dyDescent="0.2">
      <c r="A8" s="250" t="s">
        <v>84</v>
      </c>
      <c r="B8" s="386"/>
      <c r="C8" s="387">
        <f t="shared" si="15"/>
        <v>0</v>
      </c>
      <c r="D8" s="386"/>
      <c r="E8" s="260" t="str">
        <f t="shared" si="0"/>
        <v>0.0%</v>
      </c>
      <c r="F8" s="261" t="str">
        <f t="shared" si="16"/>
        <v>0.0%</v>
      </c>
      <c r="G8" s="386"/>
      <c r="H8" s="260" t="str">
        <f t="shared" si="17"/>
        <v>0.0%</v>
      </c>
      <c r="I8" s="261" t="str">
        <f t="shared" si="18"/>
        <v>0.0%</v>
      </c>
      <c r="J8" s="386"/>
      <c r="K8" s="260" t="str">
        <f t="shared" si="1"/>
        <v>0.0%</v>
      </c>
      <c r="L8" s="261" t="str">
        <f t="shared" si="2"/>
        <v>0.0%</v>
      </c>
      <c r="M8" s="388">
        <f t="shared" si="19"/>
        <v>0</v>
      </c>
      <c r="N8" s="260" t="str">
        <f t="shared" si="20"/>
        <v>0.0%</v>
      </c>
      <c r="O8" s="307" t="str">
        <f t="shared" si="21"/>
        <v>0.0%</v>
      </c>
      <c r="P8" s="389"/>
      <c r="Q8" s="260" t="str">
        <f t="shared" si="22"/>
        <v>0.0%</v>
      </c>
      <c r="R8" s="261" t="str">
        <f t="shared" si="23"/>
        <v>0.0%</v>
      </c>
      <c r="S8" s="386"/>
      <c r="T8" s="260" t="str">
        <f t="shared" si="3"/>
        <v>0.0%</v>
      </c>
      <c r="U8" s="307" t="str">
        <f t="shared" si="4"/>
        <v>0.0%</v>
      </c>
      <c r="V8" s="390"/>
      <c r="W8" s="260" t="str">
        <f t="shared" si="24"/>
        <v>0.0%</v>
      </c>
      <c r="X8" s="261" t="str">
        <f t="shared" si="25"/>
        <v>0.0%</v>
      </c>
      <c r="Y8" s="391">
        <f t="shared" si="26"/>
        <v>0</v>
      </c>
      <c r="Z8" s="260" t="str">
        <f t="shared" si="27"/>
        <v>0.0%</v>
      </c>
      <c r="AA8" s="307" t="str">
        <f t="shared" si="28"/>
        <v>0.0%</v>
      </c>
      <c r="AB8" s="386"/>
      <c r="AC8" s="260" t="str">
        <f t="shared" si="5"/>
        <v>0.0%</v>
      </c>
      <c r="AD8" s="307" t="str">
        <f t="shared" si="6"/>
        <v>0.0%</v>
      </c>
      <c r="AE8" s="386"/>
      <c r="AF8" s="260" t="str">
        <f t="shared" si="7"/>
        <v>0.0%</v>
      </c>
      <c r="AG8" s="307" t="str">
        <f t="shared" si="8"/>
        <v>0.0%</v>
      </c>
      <c r="AH8" s="386"/>
      <c r="AI8" s="260" t="str">
        <f t="shared" si="29"/>
        <v>0.0%</v>
      </c>
      <c r="AJ8" s="307" t="str">
        <f t="shared" si="30"/>
        <v>0.0%</v>
      </c>
      <c r="AK8" s="392">
        <f t="shared" si="31"/>
        <v>0</v>
      </c>
      <c r="AL8" s="320" t="str">
        <f t="shared" si="9"/>
        <v>0.0%</v>
      </c>
      <c r="AM8" s="321" t="str">
        <f t="shared" si="10"/>
        <v>0.0%</v>
      </c>
      <c r="AN8" s="386"/>
      <c r="AO8" s="260" t="str">
        <f t="shared" si="32"/>
        <v>0.0%</v>
      </c>
      <c r="AP8" s="307" t="str">
        <f t="shared" si="33"/>
        <v>0.0%</v>
      </c>
      <c r="AQ8" s="386"/>
      <c r="AR8" s="260" t="str">
        <f t="shared" si="11"/>
        <v>0.0%</v>
      </c>
      <c r="AS8" s="307" t="str">
        <f t="shared" si="12"/>
        <v>0.0%</v>
      </c>
      <c r="AT8" s="386"/>
      <c r="AU8" s="260" t="str">
        <f t="shared" si="34"/>
        <v>0.0%</v>
      </c>
      <c r="AV8" s="307" t="str">
        <f t="shared" si="35"/>
        <v>0.0%</v>
      </c>
      <c r="AW8" s="391">
        <f t="shared" si="36"/>
        <v>0</v>
      </c>
      <c r="AX8" s="260" t="str">
        <f t="shared" si="13"/>
        <v>0.0%</v>
      </c>
      <c r="AY8" s="307" t="str">
        <f t="shared" si="14"/>
        <v>0.0%</v>
      </c>
      <c r="AZ8" s="391">
        <f t="shared" si="37"/>
        <v>0</v>
      </c>
      <c r="BA8" s="260" t="str">
        <f t="shared" si="38"/>
        <v>0.0%</v>
      </c>
      <c r="BB8" s="307" t="str">
        <f t="shared" si="39"/>
        <v>0.0%</v>
      </c>
      <c r="BC8" s="391">
        <f t="shared" si="40"/>
        <v>0</v>
      </c>
      <c r="BD8" s="260" t="str">
        <f t="shared" si="41"/>
        <v>0.0%</v>
      </c>
      <c r="BE8" s="261" t="str">
        <f t="shared" si="42"/>
        <v>0.0%</v>
      </c>
      <c r="BF8" s="391">
        <f t="shared" si="43"/>
        <v>0</v>
      </c>
      <c r="BG8" s="260" t="str">
        <f t="shared" si="44"/>
        <v>0.0%</v>
      </c>
      <c r="BH8" s="261" t="str">
        <f t="shared" si="45"/>
        <v>0.0%</v>
      </c>
      <c r="BI8" s="391">
        <f t="shared" si="46"/>
        <v>0</v>
      </c>
      <c r="BJ8" s="260" t="str">
        <f t="shared" si="47"/>
        <v>0.0%</v>
      </c>
      <c r="BK8" s="261" t="str">
        <f t="shared" si="48"/>
        <v>0.0%</v>
      </c>
      <c r="BL8" s="391">
        <f t="shared" si="49"/>
        <v>0</v>
      </c>
      <c r="BM8" s="307" t="str">
        <f t="shared" si="50"/>
        <v>0.0%</v>
      </c>
    </row>
    <row r="9" spans="1:65" s="233" customFormat="1" ht="12" x14ac:dyDescent="0.2">
      <c r="A9" s="249" t="s">
        <v>85</v>
      </c>
      <c r="B9" s="386"/>
      <c r="C9" s="387">
        <f t="shared" si="15"/>
        <v>0</v>
      </c>
      <c r="D9" s="386"/>
      <c r="E9" s="260" t="str">
        <f t="shared" si="0"/>
        <v>0.0%</v>
      </c>
      <c r="F9" s="261" t="str">
        <f t="shared" si="16"/>
        <v>0.0%</v>
      </c>
      <c r="G9" s="386"/>
      <c r="H9" s="260" t="str">
        <f t="shared" si="17"/>
        <v>0.0%</v>
      </c>
      <c r="I9" s="261" t="str">
        <f t="shared" si="18"/>
        <v>0.0%</v>
      </c>
      <c r="J9" s="386"/>
      <c r="K9" s="260" t="str">
        <f t="shared" si="1"/>
        <v>0.0%</v>
      </c>
      <c r="L9" s="261" t="str">
        <f t="shared" si="2"/>
        <v>0.0%</v>
      </c>
      <c r="M9" s="388">
        <f t="shared" si="19"/>
        <v>0</v>
      </c>
      <c r="N9" s="260" t="str">
        <f t="shared" si="20"/>
        <v>0.0%</v>
      </c>
      <c r="O9" s="307" t="str">
        <f t="shared" si="21"/>
        <v>0.0%</v>
      </c>
      <c r="P9" s="389"/>
      <c r="Q9" s="260" t="str">
        <f t="shared" si="22"/>
        <v>0.0%</v>
      </c>
      <c r="R9" s="261" t="str">
        <f t="shared" si="23"/>
        <v>0.0%</v>
      </c>
      <c r="S9" s="386"/>
      <c r="T9" s="260" t="str">
        <f t="shared" si="3"/>
        <v>0.0%</v>
      </c>
      <c r="U9" s="307" t="str">
        <f t="shared" si="4"/>
        <v>0.0%</v>
      </c>
      <c r="V9" s="390"/>
      <c r="W9" s="260" t="str">
        <f t="shared" si="24"/>
        <v>0.0%</v>
      </c>
      <c r="X9" s="261" t="str">
        <f t="shared" si="25"/>
        <v>0.0%</v>
      </c>
      <c r="Y9" s="391">
        <f t="shared" si="26"/>
        <v>0</v>
      </c>
      <c r="Z9" s="260" t="str">
        <f t="shared" si="27"/>
        <v>0.0%</v>
      </c>
      <c r="AA9" s="307" t="str">
        <f t="shared" si="28"/>
        <v>0.0%</v>
      </c>
      <c r="AB9" s="386"/>
      <c r="AC9" s="260" t="str">
        <f t="shared" si="5"/>
        <v>0.0%</v>
      </c>
      <c r="AD9" s="307" t="str">
        <f t="shared" si="6"/>
        <v>0.0%</v>
      </c>
      <c r="AE9" s="386"/>
      <c r="AF9" s="260" t="str">
        <f t="shared" si="7"/>
        <v>0.0%</v>
      </c>
      <c r="AG9" s="307" t="str">
        <f t="shared" si="8"/>
        <v>0.0%</v>
      </c>
      <c r="AH9" s="386"/>
      <c r="AI9" s="260" t="str">
        <f t="shared" si="29"/>
        <v>0.0%</v>
      </c>
      <c r="AJ9" s="307" t="str">
        <f t="shared" si="30"/>
        <v>0.0%</v>
      </c>
      <c r="AK9" s="392">
        <f t="shared" si="31"/>
        <v>0</v>
      </c>
      <c r="AL9" s="320" t="str">
        <f t="shared" si="9"/>
        <v>0.0%</v>
      </c>
      <c r="AM9" s="321" t="str">
        <f t="shared" si="10"/>
        <v>0.0%</v>
      </c>
      <c r="AN9" s="386"/>
      <c r="AO9" s="260" t="str">
        <f t="shared" si="32"/>
        <v>0.0%</v>
      </c>
      <c r="AP9" s="307" t="str">
        <f t="shared" si="33"/>
        <v>0.0%</v>
      </c>
      <c r="AQ9" s="386"/>
      <c r="AR9" s="260" t="str">
        <f t="shared" si="11"/>
        <v>0.0%</v>
      </c>
      <c r="AS9" s="307" t="str">
        <f t="shared" si="12"/>
        <v>0.0%</v>
      </c>
      <c r="AT9" s="386"/>
      <c r="AU9" s="260" t="str">
        <f t="shared" si="34"/>
        <v>0.0%</v>
      </c>
      <c r="AV9" s="307" t="str">
        <f t="shared" si="35"/>
        <v>0.0%</v>
      </c>
      <c r="AW9" s="391">
        <f t="shared" si="36"/>
        <v>0</v>
      </c>
      <c r="AX9" s="260" t="str">
        <f t="shared" si="13"/>
        <v>0.0%</v>
      </c>
      <c r="AY9" s="307" t="str">
        <f t="shared" si="14"/>
        <v>0.0%</v>
      </c>
      <c r="AZ9" s="391">
        <f t="shared" si="37"/>
        <v>0</v>
      </c>
      <c r="BA9" s="260" t="str">
        <f t="shared" si="38"/>
        <v>0.0%</v>
      </c>
      <c r="BB9" s="307" t="str">
        <f t="shared" si="39"/>
        <v>0.0%</v>
      </c>
      <c r="BC9" s="391">
        <f t="shared" si="40"/>
        <v>0</v>
      </c>
      <c r="BD9" s="260" t="str">
        <f t="shared" si="41"/>
        <v>0.0%</v>
      </c>
      <c r="BE9" s="261" t="str">
        <f t="shared" si="42"/>
        <v>0.0%</v>
      </c>
      <c r="BF9" s="391">
        <f t="shared" si="43"/>
        <v>0</v>
      </c>
      <c r="BG9" s="260" t="str">
        <f t="shared" si="44"/>
        <v>0.0%</v>
      </c>
      <c r="BH9" s="261" t="str">
        <f t="shared" si="45"/>
        <v>0.0%</v>
      </c>
      <c r="BI9" s="391">
        <f t="shared" si="46"/>
        <v>0</v>
      </c>
      <c r="BJ9" s="260" t="str">
        <f t="shared" si="47"/>
        <v>0.0%</v>
      </c>
      <c r="BK9" s="261" t="str">
        <f t="shared" si="48"/>
        <v>0.0%</v>
      </c>
      <c r="BL9" s="391">
        <f t="shared" si="49"/>
        <v>0</v>
      </c>
      <c r="BM9" s="307" t="str">
        <f t="shared" si="50"/>
        <v>0.0%</v>
      </c>
    </row>
    <row r="10" spans="1:65" s="233" customFormat="1" ht="12" x14ac:dyDescent="0.2">
      <c r="A10" s="250" t="s">
        <v>83</v>
      </c>
      <c r="B10" s="386"/>
      <c r="C10" s="387">
        <f t="shared" si="15"/>
        <v>0</v>
      </c>
      <c r="D10" s="386"/>
      <c r="E10" s="260" t="str">
        <f t="shared" si="0"/>
        <v>0.0%</v>
      </c>
      <c r="F10" s="261" t="str">
        <f t="shared" si="16"/>
        <v>0.0%</v>
      </c>
      <c r="G10" s="386"/>
      <c r="H10" s="260" t="str">
        <f t="shared" si="17"/>
        <v>0.0%</v>
      </c>
      <c r="I10" s="261" t="str">
        <f t="shared" si="18"/>
        <v>0.0%</v>
      </c>
      <c r="J10" s="386"/>
      <c r="K10" s="260" t="str">
        <f t="shared" si="1"/>
        <v>0.0%</v>
      </c>
      <c r="L10" s="261" t="str">
        <f t="shared" si="2"/>
        <v>0.0%</v>
      </c>
      <c r="M10" s="388">
        <f t="shared" si="19"/>
        <v>0</v>
      </c>
      <c r="N10" s="260" t="str">
        <f t="shared" si="20"/>
        <v>0.0%</v>
      </c>
      <c r="O10" s="307" t="str">
        <f t="shared" si="21"/>
        <v>0.0%</v>
      </c>
      <c r="P10" s="389"/>
      <c r="Q10" s="260" t="str">
        <f t="shared" si="22"/>
        <v>0.0%</v>
      </c>
      <c r="R10" s="261" t="str">
        <f t="shared" si="23"/>
        <v>0.0%</v>
      </c>
      <c r="S10" s="386"/>
      <c r="T10" s="260" t="str">
        <f t="shared" si="3"/>
        <v>0.0%</v>
      </c>
      <c r="U10" s="307" t="str">
        <f t="shared" si="4"/>
        <v>0.0%</v>
      </c>
      <c r="V10" s="390"/>
      <c r="W10" s="260" t="str">
        <f t="shared" si="24"/>
        <v>0.0%</v>
      </c>
      <c r="X10" s="261" t="str">
        <f t="shared" si="25"/>
        <v>0.0%</v>
      </c>
      <c r="Y10" s="391">
        <f t="shared" si="26"/>
        <v>0</v>
      </c>
      <c r="Z10" s="260" t="str">
        <f t="shared" si="27"/>
        <v>0.0%</v>
      </c>
      <c r="AA10" s="307" t="str">
        <f t="shared" si="28"/>
        <v>0.0%</v>
      </c>
      <c r="AB10" s="386"/>
      <c r="AC10" s="260" t="str">
        <f t="shared" si="5"/>
        <v>0.0%</v>
      </c>
      <c r="AD10" s="307" t="str">
        <f t="shared" si="6"/>
        <v>0.0%</v>
      </c>
      <c r="AE10" s="386"/>
      <c r="AF10" s="260" t="str">
        <f t="shared" si="7"/>
        <v>0.0%</v>
      </c>
      <c r="AG10" s="307" t="str">
        <f t="shared" si="8"/>
        <v>0.0%</v>
      </c>
      <c r="AH10" s="386"/>
      <c r="AI10" s="260" t="str">
        <f t="shared" si="29"/>
        <v>0.0%</v>
      </c>
      <c r="AJ10" s="307" t="str">
        <f t="shared" si="30"/>
        <v>0.0%</v>
      </c>
      <c r="AK10" s="392">
        <f t="shared" si="31"/>
        <v>0</v>
      </c>
      <c r="AL10" s="320" t="str">
        <f t="shared" si="9"/>
        <v>0.0%</v>
      </c>
      <c r="AM10" s="321" t="str">
        <f t="shared" si="10"/>
        <v>0.0%</v>
      </c>
      <c r="AN10" s="386"/>
      <c r="AO10" s="260" t="str">
        <f t="shared" si="32"/>
        <v>0.0%</v>
      </c>
      <c r="AP10" s="307" t="str">
        <f t="shared" si="33"/>
        <v>0.0%</v>
      </c>
      <c r="AQ10" s="386"/>
      <c r="AR10" s="260" t="str">
        <f t="shared" si="11"/>
        <v>0.0%</v>
      </c>
      <c r="AS10" s="307" t="str">
        <f t="shared" si="12"/>
        <v>0.0%</v>
      </c>
      <c r="AT10" s="386"/>
      <c r="AU10" s="260" t="str">
        <f t="shared" si="34"/>
        <v>0.0%</v>
      </c>
      <c r="AV10" s="307" t="str">
        <f t="shared" si="35"/>
        <v>0.0%</v>
      </c>
      <c r="AW10" s="391">
        <f t="shared" si="36"/>
        <v>0</v>
      </c>
      <c r="AX10" s="260" t="str">
        <f t="shared" si="13"/>
        <v>0.0%</v>
      </c>
      <c r="AY10" s="307" t="str">
        <f t="shared" si="14"/>
        <v>0.0%</v>
      </c>
      <c r="AZ10" s="391">
        <f t="shared" si="37"/>
        <v>0</v>
      </c>
      <c r="BA10" s="260" t="str">
        <f t="shared" si="38"/>
        <v>0.0%</v>
      </c>
      <c r="BB10" s="307" t="str">
        <f t="shared" si="39"/>
        <v>0.0%</v>
      </c>
      <c r="BC10" s="391">
        <f t="shared" si="40"/>
        <v>0</v>
      </c>
      <c r="BD10" s="260" t="str">
        <f t="shared" si="41"/>
        <v>0.0%</v>
      </c>
      <c r="BE10" s="261" t="str">
        <f t="shared" si="42"/>
        <v>0.0%</v>
      </c>
      <c r="BF10" s="391">
        <f t="shared" si="43"/>
        <v>0</v>
      </c>
      <c r="BG10" s="260" t="str">
        <f t="shared" si="44"/>
        <v>0.0%</v>
      </c>
      <c r="BH10" s="261" t="str">
        <f t="shared" si="45"/>
        <v>0.0%</v>
      </c>
      <c r="BI10" s="391">
        <f t="shared" si="46"/>
        <v>0</v>
      </c>
      <c r="BJ10" s="260" t="str">
        <f t="shared" si="47"/>
        <v>0.0%</v>
      </c>
      <c r="BK10" s="261" t="str">
        <f t="shared" si="48"/>
        <v>0.0%</v>
      </c>
      <c r="BL10" s="391">
        <f t="shared" si="49"/>
        <v>0</v>
      </c>
      <c r="BM10" s="307" t="str">
        <f t="shared" si="50"/>
        <v>0.0%</v>
      </c>
    </row>
    <row r="11" spans="1:65" s="233" customFormat="1" ht="12" x14ac:dyDescent="0.2">
      <c r="A11" s="249" t="s">
        <v>33</v>
      </c>
      <c r="B11" s="386"/>
      <c r="C11" s="387">
        <f t="shared" si="15"/>
        <v>0</v>
      </c>
      <c r="D11" s="386"/>
      <c r="E11" s="260" t="str">
        <f t="shared" si="0"/>
        <v>0.0%</v>
      </c>
      <c r="F11" s="261" t="str">
        <f t="shared" si="16"/>
        <v>0.0%</v>
      </c>
      <c r="G11" s="386"/>
      <c r="H11" s="260" t="str">
        <f t="shared" si="17"/>
        <v>0.0%</v>
      </c>
      <c r="I11" s="261" t="str">
        <f t="shared" si="18"/>
        <v>0.0%</v>
      </c>
      <c r="J11" s="386"/>
      <c r="K11" s="260" t="str">
        <f t="shared" si="1"/>
        <v>0.0%</v>
      </c>
      <c r="L11" s="261" t="str">
        <f t="shared" si="2"/>
        <v>0.0%</v>
      </c>
      <c r="M11" s="388">
        <f t="shared" si="19"/>
        <v>0</v>
      </c>
      <c r="N11" s="260" t="str">
        <f t="shared" si="20"/>
        <v>0.0%</v>
      </c>
      <c r="O11" s="307" t="str">
        <f t="shared" si="21"/>
        <v>0.0%</v>
      </c>
      <c r="P11" s="389"/>
      <c r="Q11" s="260" t="str">
        <f t="shared" si="22"/>
        <v>0.0%</v>
      </c>
      <c r="R11" s="261" t="str">
        <f t="shared" si="23"/>
        <v>0.0%</v>
      </c>
      <c r="S11" s="386"/>
      <c r="T11" s="260" t="str">
        <f t="shared" si="3"/>
        <v>0.0%</v>
      </c>
      <c r="U11" s="307" t="str">
        <f t="shared" si="4"/>
        <v>0.0%</v>
      </c>
      <c r="V11" s="390"/>
      <c r="W11" s="260" t="str">
        <f t="shared" si="24"/>
        <v>0.0%</v>
      </c>
      <c r="X11" s="261" t="str">
        <f t="shared" si="25"/>
        <v>0.0%</v>
      </c>
      <c r="Y11" s="391">
        <f t="shared" si="26"/>
        <v>0</v>
      </c>
      <c r="Z11" s="260" t="str">
        <f t="shared" si="27"/>
        <v>0.0%</v>
      </c>
      <c r="AA11" s="307" t="str">
        <f t="shared" si="28"/>
        <v>0.0%</v>
      </c>
      <c r="AB11" s="386"/>
      <c r="AC11" s="260" t="str">
        <f t="shared" si="5"/>
        <v>0.0%</v>
      </c>
      <c r="AD11" s="307" t="str">
        <f t="shared" si="6"/>
        <v>0.0%</v>
      </c>
      <c r="AE11" s="386"/>
      <c r="AF11" s="260" t="str">
        <f t="shared" si="7"/>
        <v>0.0%</v>
      </c>
      <c r="AG11" s="307" t="str">
        <f t="shared" si="8"/>
        <v>0.0%</v>
      </c>
      <c r="AH11" s="386"/>
      <c r="AI11" s="260" t="str">
        <f t="shared" si="29"/>
        <v>0.0%</v>
      </c>
      <c r="AJ11" s="307" t="str">
        <f t="shared" si="30"/>
        <v>0.0%</v>
      </c>
      <c r="AK11" s="392">
        <f t="shared" si="31"/>
        <v>0</v>
      </c>
      <c r="AL11" s="320" t="str">
        <f t="shared" si="9"/>
        <v>0.0%</v>
      </c>
      <c r="AM11" s="321" t="str">
        <f t="shared" si="10"/>
        <v>0.0%</v>
      </c>
      <c r="AN11" s="386"/>
      <c r="AO11" s="260" t="str">
        <f t="shared" si="32"/>
        <v>0.0%</v>
      </c>
      <c r="AP11" s="307" t="str">
        <f t="shared" si="33"/>
        <v>0.0%</v>
      </c>
      <c r="AQ11" s="386"/>
      <c r="AR11" s="260" t="str">
        <f t="shared" si="11"/>
        <v>0.0%</v>
      </c>
      <c r="AS11" s="307" t="str">
        <f t="shared" si="12"/>
        <v>0.0%</v>
      </c>
      <c r="AT11" s="386"/>
      <c r="AU11" s="260" t="str">
        <f t="shared" si="34"/>
        <v>0.0%</v>
      </c>
      <c r="AV11" s="307" t="str">
        <f t="shared" si="35"/>
        <v>0.0%</v>
      </c>
      <c r="AW11" s="391">
        <f t="shared" si="36"/>
        <v>0</v>
      </c>
      <c r="AX11" s="260" t="str">
        <f t="shared" si="13"/>
        <v>0.0%</v>
      </c>
      <c r="AY11" s="307" t="str">
        <f t="shared" si="14"/>
        <v>0.0%</v>
      </c>
      <c r="AZ11" s="391">
        <f t="shared" si="37"/>
        <v>0</v>
      </c>
      <c r="BA11" s="260" t="str">
        <f t="shared" si="38"/>
        <v>0.0%</v>
      </c>
      <c r="BB11" s="307" t="str">
        <f t="shared" si="39"/>
        <v>0.0%</v>
      </c>
      <c r="BC11" s="391">
        <f t="shared" si="40"/>
        <v>0</v>
      </c>
      <c r="BD11" s="260" t="str">
        <f t="shared" si="41"/>
        <v>0.0%</v>
      </c>
      <c r="BE11" s="261" t="str">
        <f t="shared" si="42"/>
        <v>0.0%</v>
      </c>
      <c r="BF11" s="391">
        <f t="shared" si="43"/>
        <v>0</v>
      </c>
      <c r="BG11" s="260" t="str">
        <f t="shared" si="44"/>
        <v>0.0%</v>
      </c>
      <c r="BH11" s="261" t="str">
        <f t="shared" si="45"/>
        <v>0.0%</v>
      </c>
      <c r="BI11" s="391">
        <f t="shared" si="46"/>
        <v>0</v>
      </c>
      <c r="BJ11" s="260" t="str">
        <f t="shared" si="47"/>
        <v>0.0%</v>
      </c>
      <c r="BK11" s="261" t="str">
        <f t="shared" si="48"/>
        <v>0.0%</v>
      </c>
      <c r="BL11" s="391">
        <f t="shared" si="49"/>
        <v>0</v>
      </c>
      <c r="BM11" s="307" t="str">
        <f t="shared" si="50"/>
        <v>0.0%</v>
      </c>
    </row>
    <row r="12" spans="1:65" s="233" customFormat="1" ht="12" x14ac:dyDescent="0.2">
      <c r="A12" s="250" t="s">
        <v>35</v>
      </c>
      <c r="B12" s="386"/>
      <c r="C12" s="387">
        <f t="shared" si="15"/>
        <v>0</v>
      </c>
      <c r="D12" s="386"/>
      <c r="E12" s="260" t="str">
        <f t="shared" si="0"/>
        <v>0.0%</v>
      </c>
      <c r="F12" s="261" t="str">
        <f t="shared" si="16"/>
        <v>0.0%</v>
      </c>
      <c r="G12" s="386"/>
      <c r="H12" s="260" t="str">
        <f t="shared" si="17"/>
        <v>0.0%</v>
      </c>
      <c r="I12" s="261" t="str">
        <f t="shared" si="18"/>
        <v>0.0%</v>
      </c>
      <c r="J12" s="386"/>
      <c r="K12" s="260" t="str">
        <f t="shared" si="1"/>
        <v>0.0%</v>
      </c>
      <c r="L12" s="261" t="str">
        <f t="shared" si="2"/>
        <v>0.0%</v>
      </c>
      <c r="M12" s="388">
        <f t="shared" si="19"/>
        <v>0</v>
      </c>
      <c r="N12" s="260" t="str">
        <f t="shared" si="20"/>
        <v>0.0%</v>
      </c>
      <c r="O12" s="307" t="str">
        <f t="shared" si="21"/>
        <v>0.0%</v>
      </c>
      <c r="P12" s="389"/>
      <c r="Q12" s="260" t="str">
        <f t="shared" si="22"/>
        <v>0.0%</v>
      </c>
      <c r="R12" s="261" t="str">
        <f t="shared" si="23"/>
        <v>0.0%</v>
      </c>
      <c r="S12" s="386"/>
      <c r="T12" s="260" t="str">
        <f t="shared" si="3"/>
        <v>0.0%</v>
      </c>
      <c r="U12" s="307" t="str">
        <f t="shared" si="4"/>
        <v>0.0%</v>
      </c>
      <c r="V12" s="390"/>
      <c r="W12" s="260" t="str">
        <f t="shared" si="24"/>
        <v>0.0%</v>
      </c>
      <c r="X12" s="261" t="str">
        <f t="shared" si="25"/>
        <v>0.0%</v>
      </c>
      <c r="Y12" s="391">
        <f t="shared" si="26"/>
        <v>0</v>
      </c>
      <c r="Z12" s="260" t="str">
        <f t="shared" si="27"/>
        <v>0.0%</v>
      </c>
      <c r="AA12" s="307" t="str">
        <f t="shared" si="28"/>
        <v>0.0%</v>
      </c>
      <c r="AB12" s="386"/>
      <c r="AC12" s="260" t="str">
        <f t="shared" si="5"/>
        <v>0.0%</v>
      </c>
      <c r="AD12" s="307" t="str">
        <f t="shared" si="6"/>
        <v>0.0%</v>
      </c>
      <c r="AE12" s="386"/>
      <c r="AF12" s="260" t="str">
        <f t="shared" si="7"/>
        <v>0.0%</v>
      </c>
      <c r="AG12" s="307" t="str">
        <f t="shared" si="8"/>
        <v>0.0%</v>
      </c>
      <c r="AH12" s="386"/>
      <c r="AI12" s="260" t="str">
        <f t="shared" si="29"/>
        <v>0.0%</v>
      </c>
      <c r="AJ12" s="307" t="str">
        <f t="shared" si="30"/>
        <v>0.0%</v>
      </c>
      <c r="AK12" s="392">
        <f t="shared" si="31"/>
        <v>0</v>
      </c>
      <c r="AL12" s="320" t="str">
        <f t="shared" si="9"/>
        <v>0.0%</v>
      </c>
      <c r="AM12" s="321" t="str">
        <f t="shared" si="10"/>
        <v>0.0%</v>
      </c>
      <c r="AN12" s="386"/>
      <c r="AO12" s="260" t="str">
        <f t="shared" si="32"/>
        <v>0.0%</v>
      </c>
      <c r="AP12" s="307" t="str">
        <f t="shared" si="33"/>
        <v>0.0%</v>
      </c>
      <c r="AQ12" s="386"/>
      <c r="AR12" s="260" t="str">
        <f t="shared" si="11"/>
        <v>0.0%</v>
      </c>
      <c r="AS12" s="307" t="str">
        <f t="shared" si="12"/>
        <v>0.0%</v>
      </c>
      <c r="AT12" s="386"/>
      <c r="AU12" s="260" t="str">
        <f t="shared" si="34"/>
        <v>0.0%</v>
      </c>
      <c r="AV12" s="307" t="str">
        <f t="shared" si="35"/>
        <v>0.0%</v>
      </c>
      <c r="AW12" s="391">
        <f t="shared" si="36"/>
        <v>0</v>
      </c>
      <c r="AX12" s="260" t="str">
        <f t="shared" si="13"/>
        <v>0.0%</v>
      </c>
      <c r="AY12" s="307" t="str">
        <f t="shared" si="14"/>
        <v>0.0%</v>
      </c>
      <c r="AZ12" s="391">
        <f t="shared" si="37"/>
        <v>0</v>
      </c>
      <c r="BA12" s="260" t="str">
        <f t="shared" si="38"/>
        <v>0.0%</v>
      </c>
      <c r="BB12" s="307" t="str">
        <f t="shared" si="39"/>
        <v>0.0%</v>
      </c>
      <c r="BC12" s="391">
        <f t="shared" si="40"/>
        <v>0</v>
      </c>
      <c r="BD12" s="260" t="str">
        <f t="shared" si="41"/>
        <v>0.0%</v>
      </c>
      <c r="BE12" s="261" t="str">
        <f t="shared" si="42"/>
        <v>0.0%</v>
      </c>
      <c r="BF12" s="391">
        <f t="shared" si="43"/>
        <v>0</v>
      </c>
      <c r="BG12" s="260" t="str">
        <f t="shared" si="44"/>
        <v>0.0%</v>
      </c>
      <c r="BH12" s="261" t="str">
        <f t="shared" si="45"/>
        <v>0.0%</v>
      </c>
      <c r="BI12" s="391">
        <f t="shared" si="46"/>
        <v>0</v>
      </c>
      <c r="BJ12" s="260" t="str">
        <f t="shared" si="47"/>
        <v>0.0%</v>
      </c>
      <c r="BK12" s="261" t="str">
        <f t="shared" si="48"/>
        <v>0.0%</v>
      </c>
      <c r="BL12" s="391">
        <f t="shared" si="49"/>
        <v>0</v>
      </c>
      <c r="BM12" s="307" t="str">
        <f t="shared" si="50"/>
        <v>0.0%</v>
      </c>
    </row>
    <row r="13" spans="1:65" s="233" customFormat="1" ht="12" x14ac:dyDescent="0.2">
      <c r="A13" s="249" t="s">
        <v>37</v>
      </c>
      <c r="B13" s="386"/>
      <c r="C13" s="387">
        <f t="shared" si="15"/>
        <v>0</v>
      </c>
      <c r="D13" s="386"/>
      <c r="E13" s="260" t="str">
        <f t="shared" si="0"/>
        <v>0.0%</v>
      </c>
      <c r="F13" s="261" t="str">
        <f t="shared" si="16"/>
        <v>0.0%</v>
      </c>
      <c r="G13" s="386"/>
      <c r="H13" s="260" t="str">
        <f t="shared" si="17"/>
        <v>0.0%</v>
      </c>
      <c r="I13" s="261" t="str">
        <f t="shared" si="18"/>
        <v>0.0%</v>
      </c>
      <c r="J13" s="386"/>
      <c r="K13" s="260" t="str">
        <f t="shared" si="1"/>
        <v>0.0%</v>
      </c>
      <c r="L13" s="261" t="str">
        <f t="shared" si="2"/>
        <v>0.0%</v>
      </c>
      <c r="M13" s="388">
        <f t="shared" si="19"/>
        <v>0</v>
      </c>
      <c r="N13" s="260" t="str">
        <f t="shared" si="20"/>
        <v>0.0%</v>
      </c>
      <c r="O13" s="307" t="str">
        <f t="shared" si="21"/>
        <v>0.0%</v>
      </c>
      <c r="P13" s="389"/>
      <c r="Q13" s="260" t="str">
        <f t="shared" si="22"/>
        <v>0.0%</v>
      </c>
      <c r="R13" s="261" t="str">
        <f t="shared" si="23"/>
        <v>0.0%</v>
      </c>
      <c r="S13" s="386"/>
      <c r="T13" s="260" t="str">
        <f t="shared" si="3"/>
        <v>0.0%</v>
      </c>
      <c r="U13" s="307" t="str">
        <f t="shared" si="4"/>
        <v>0.0%</v>
      </c>
      <c r="V13" s="390"/>
      <c r="W13" s="260" t="str">
        <f t="shared" si="24"/>
        <v>0.0%</v>
      </c>
      <c r="X13" s="261" t="str">
        <f t="shared" si="25"/>
        <v>0.0%</v>
      </c>
      <c r="Y13" s="391">
        <f t="shared" si="26"/>
        <v>0</v>
      </c>
      <c r="Z13" s="260" t="str">
        <f t="shared" si="27"/>
        <v>0.0%</v>
      </c>
      <c r="AA13" s="307" t="str">
        <f t="shared" si="28"/>
        <v>0.0%</v>
      </c>
      <c r="AB13" s="386"/>
      <c r="AC13" s="260" t="str">
        <f t="shared" si="5"/>
        <v>0.0%</v>
      </c>
      <c r="AD13" s="307" t="str">
        <f t="shared" si="6"/>
        <v>0.0%</v>
      </c>
      <c r="AE13" s="386"/>
      <c r="AF13" s="260" t="str">
        <f t="shared" si="7"/>
        <v>0.0%</v>
      </c>
      <c r="AG13" s="307" t="str">
        <f t="shared" si="8"/>
        <v>0.0%</v>
      </c>
      <c r="AH13" s="386"/>
      <c r="AI13" s="260" t="str">
        <f t="shared" si="29"/>
        <v>0.0%</v>
      </c>
      <c r="AJ13" s="307" t="str">
        <f t="shared" si="30"/>
        <v>0.0%</v>
      </c>
      <c r="AK13" s="392">
        <f t="shared" si="31"/>
        <v>0</v>
      </c>
      <c r="AL13" s="320" t="str">
        <f t="shared" si="9"/>
        <v>0.0%</v>
      </c>
      <c r="AM13" s="321" t="str">
        <f t="shared" si="10"/>
        <v>0.0%</v>
      </c>
      <c r="AN13" s="386"/>
      <c r="AO13" s="260" t="str">
        <f t="shared" si="32"/>
        <v>0.0%</v>
      </c>
      <c r="AP13" s="307" t="str">
        <f t="shared" si="33"/>
        <v>0.0%</v>
      </c>
      <c r="AQ13" s="386"/>
      <c r="AR13" s="260" t="str">
        <f t="shared" si="11"/>
        <v>0.0%</v>
      </c>
      <c r="AS13" s="307" t="str">
        <f t="shared" si="12"/>
        <v>0.0%</v>
      </c>
      <c r="AT13" s="386"/>
      <c r="AU13" s="260" t="str">
        <f t="shared" si="34"/>
        <v>0.0%</v>
      </c>
      <c r="AV13" s="307" t="str">
        <f t="shared" si="35"/>
        <v>0.0%</v>
      </c>
      <c r="AW13" s="391">
        <f t="shared" si="36"/>
        <v>0</v>
      </c>
      <c r="AX13" s="260" t="str">
        <f t="shared" si="13"/>
        <v>0.0%</v>
      </c>
      <c r="AY13" s="307" t="str">
        <f t="shared" si="14"/>
        <v>0.0%</v>
      </c>
      <c r="AZ13" s="391">
        <f t="shared" si="37"/>
        <v>0</v>
      </c>
      <c r="BA13" s="260" t="str">
        <f t="shared" si="38"/>
        <v>0.0%</v>
      </c>
      <c r="BB13" s="307" t="str">
        <f t="shared" si="39"/>
        <v>0.0%</v>
      </c>
      <c r="BC13" s="391">
        <f t="shared" si="40"/>
        <v>0</v>
      </c>
      <c r="BD13" s="260" t="str">
        <f t="shared" si="41"/>
        <v>0.0%</v>
      </c>
      <c r="BE13" s="261" t="str">
        <f t="shared" si="42"/>
        <v>0.0%</v>
      </c>
      <c r="BF13" s="391">
        <f t="shared" si="43"/>
        <v>0</v>
      </c>
      <c r="BG13" s="260" t="str">
        <f t="shared" si="44"/>
        <v>0.0%</v>
      </c>
      <c r="BH13" s="261" t="str">
        <f t="shared" si="45"/>
        <v>0.0%</v>
      </c>
      <c r="BI13" s="391">
        <f t="shared" si="46"/>
        <v>0</v>
      </c>
      <c r="BJ13" s="260" t="str">
        <f t="shared" si="47"/>
        <v>0.0%</v>
      </c>
      <c r="BK13" s="261" t="str">
        <f t="shared" si="48"/>
        <v>0.0%</v>
      </c>
      <c r="BL13" s="391">
        <f t="shared" si="49"/>
        <v>0</v>
      </c>
      <c r="BM13" s="307" t="str">
        <f t="shared" si="50"/>
        <v>0.0%</v>
      </c>
    </row>
    <row r="14" spans="1:65" s="233" customFormat="1" ht="12" x14ac:dyDescent="0.2">
      <c r="A14" s="250" t="s">
        <v>42</v>
      </c>
      <c r="B14" s="386"/>
      <c r="C14" s="387">
        <f t="shared" si="15"/>
        <v>0</v>
      </c>
      <c r="D14" s="386"/>
      <c r="E14" s="260" t="str">
        <f t="shared" si="0"/>
        <v>0.0%</v>
      </c>
      <c r="F14" s="261" t="str">
        <f t="shared" si="16"/>
        <v>0.0%</v>
      </c>
      <c r="G14" s="386"/>
      <c r="H14" s="260" t="str">
        <f t="shared" si="17"/>
        <v>0.0%</v>
      </c>
      <c r="I14" s="261" t="str">
        <f t="shared" si="18"/>
        <v>0.0%</v>
      </c>
      <c r="J14" s="386"/>
      <c r="K14" s="260" t="str">
        <f t="shared" si="1"/>
        <v>0.0%</v>
      </c>
      <c r="L14" s="261" t="str">
        <f t="shared" si="2"/>
        <v>0.0%</v>
      </c>
      <c r="M14" s="388">
        <f t="shared" si="19"/>
        <v>0</v>
      </c>
      <c r="N14" s="260" t="str">
        <f t="shared" si="20"/>
        <v>0.0%</v>
      </c>
      <c r="O14" s="307" t="str">
        <f t="shared" si="21"/>
        <v>0.0%</v>
      </c>
      <c r="P14" s="389"/>
      <c r="Q14" s="260" t="str">
        <f t="shared" si="22"/>
        <v>0.0%</v>
      </c>
      <c r="R14" s="261" t="str">
        <f t="shared" si="23"/>
        <v>0.0%</v>
      </c>
      <c r="S14" s="386"/>
      <c r="T14" s="260" t="str">
        <f t="shared" si="3"/>
        <v>0.0%</v>
      </c>
      <c r="U14" s="307" t="str">
        <f t="shared" si="4"/>
        <v>0.0%</v>
      </c>
      <c r="V14" s="390"/>
      <c r="W14" s="260" t="str">
        <f t="shared" si="24"/>
        <v>0.0%</v>
      </c>
      <c r="X14" s="261" t="str">
        <f t="shared" si="25"/>
        <v>0.0%</v>
      </c>
      <c r="Y14" s="391">
        <f t="shared" si="26"/>
        <v>0</v>
      </c>
      <c r="Z14" s="260" t="str">
        <f t="shared" si="27"/>
        <v>0.0%</v>
      </c>
      <c r="AA14" s="307" t="str">
        <f t="shared" si="28"/>
        <v>0.0%</v>
      </c>
      <c r="AB14" s="386"/>
      <c r="AC14" s="260" t="str">
        <f t="shared" si="5"/>
        <v>0.0%</v>
      </c>
      <c r="AD14" s="307" t="str">
        <f t="shared" si="6"/>
        <v>0.0%</v>
      </c>
      <c r="AE14" s="386"/>
      <c r="AF14" s="260" t="str">
        <f t="shared" si="7"/>
        <v>0.0%</v>
      </c>
      <c r="AG14" s="307" t="str">
        <f t="shared" si="8"/>
        <v>0.0%</v>
      </c>
      <c r="AH14" s="386"/>
      <c r="AI14" s="260" t="str">
        <f t="shared" si="29"/>
        <v>0.0%</v>
      </c>
      <c r="AJ14" s="307" t="str">
        <f t="shared" si="30"/>
        <v>0.0%</v>
      </c>
      <c r="AK14" s="392">
        <f t="shared" si="31"/>
        <v>0</v>
      </c>
      <c r="AL14" s="320" t="str">
        <f t="shared" si="9"/>
        <v>0.0%</v>
      </c>
      <c r="AM14" s="321" t="str">
        <f t="shared" si="10"/>
        <v>0.0%</v>
      </c>
      <c r="AN14" s="386"/>
      <c r="AO14" s="260" t="str">
        <f t="shared" si="32"/>
        <v>0.0%</v>
      </c>
      <c r="AP14" s="307" t="str">
        <f t="shared" si="33"/>
        <v>0.0%</v>
      </c>
      <c r="AQ14" s="386"/>
      <c r="AR14" s="260" t="str">
        <f t="shared" si="11"/>
        <v>0.0%</v>
      </c>
      <c r="AS14" s="307" t="str">
        <f t="shared" si="12"/>
        <v>0.0%</v>
      </c>
      <c r="AT14" s="386"/>
      <c r="AU14" s="260" t="str">
        <f t="shared" si="34"/>
        <v>0.0%</v>
      </c>
      <c r="AV14" s="307" t="str">
        <f t="shared" si="35"/>
        <v>0.0%</v>
      </c>
      <c r="AW14" s="391">
        <f t="shared" si="36"/>
        <v>0</v>
      </c>
      <c r="AX14" s="260" t="str">
        <f t="shared" si="13"/>
        <v>0.0%</v>
      </c>
      <c r="AY14" s="307" t="str">
        <f t="shared" si="14"/>
        <v>0.0%</v>
      </c>
      <c r="AZ14" s="391">
        <f t="shared" si="37"/>
        <v>0</v>
      </c>
      <c r="BA14" s="260" t="str">
        <f t="shared" si="38"/>
        <v>0.0%</v>
      </c>
      <c r="BB14" s="307" t="str">
        <f t="shared" si="39"/>
        <v>0.0%</v>
      </c>
      <c r="BC14" s="391">
        <f t="shared" si="40"/>
        <v>0</v>
      </c>
      <c r="BD14" s="260" t="str">
        <f t="shared" si="41"/>
        <v>0.0%</v>
      </c>
      <c r="BE14" s="261" t="str">
        <f t="shared" si="42"/>
        <v>0.0%</v>
      </c>
      <c r="BF14" s="391">
        <f t="shared" si="43"/>
        <v>0</v>
      </c>
      <c r="BG14" s="260" t="str">
        <f t="shared" si="44"/>
        <v>0.0%</v>
      </c>
      <c r="BH14" s="261" t="str">
        <f t="shared" si="45"/>
        <v>0.0%</v>
      </c>
      <c r="BI14" s="391">
        <f t="shared" si="46"/>
        <v>0</v>
      </c>
      <c r="BJ14" s="260" t="str">
        <f t="shared" si="47"/>
        <v>0.0%</v>
      </c>
      <c r="BK14" s="261" t="str">
        <f t="shared" si="48"/>
        <v>0.0%</v>
      </c>
      <c r="BL14" s="391">
        <f t="shared" si="49"/>
        <v>0</v>
      </c>
      <c r="BM14" s="307" t="str">
        <f t="shared" si="50"/>
        <v>0.0%</v>
      </c>
    </row>
    <row r="15" spans="1:65" s="233" customFormat="1" ht="12" x14ac:dyDescent="0.2">
      <c r="A15" s="249" t="s">
        <v>664</v>
      </c>
      <c r="B15" s="386"/>
      <c r="C15" s="387">
        <f t="shared" si="15"/>
        <v>0</v>
      </c>
      <c r="D15" s="386"/>
      <c r="E15" s="260" t="str">
        <f t="shared" si="0"/>
        <v>0.0%</v>
      </c>
      <c r="F15" s="261" t="str">
        <f t="shared" si="16"/>
        <v>0.0%</v>
      </c>
      <c r="G15" s="386"/>
      <c r="H15" s="260" t="str">
        <f t="shared" si="17"/>
        <v>0.0%</v>
      </c>
      <c r="I15" s="261" t="str">
        <f t="shared" si="18"/>
        <v>0.0%</v>
      </c>
      <c r="J15" s="386"/>
      <c r="K15" s="260" t="str">
        <f t="shared" si="1"/>
        <v>0.0%</v>
      </c>
      <c r="L15" s="261" t="str">
        <f t="shared" si="2"/>
        <v>0.0%</v>
      </c>
      <c r="M15" s="388">
        <f t="shared" si="19"/>
        <v>0</v>
      </c>
      <c r="N15" s="260" t="str">
        <f t="shared" si="20"/>
        <v>0.0%</v>
      </c>
      <c r="O15" s="307" t="str">
        <f t="shared" si="21"/>
        <v>0.0%</v>
      </c>
      <c r="P15" s="389"/>
      <c r="Q15" s="260" t="str">
        <f t="shared" si="22"/>
        <v>0.0%</v>
      </c>
      <c r="R15" s="261" t="str">
        <f t="shared" si="23"/>
        <v>0.0%</v>
      </c>
      <c r="S15" s="386"/>
      <c r="T15" s="260" t="str">
        <f t="shared" si="3"/>
        <v>0.0%</v>
      </c>
      <c r="U15" s="307" t="str">
        <f t="shared" si="4"/>
        <v>0.0%</v>
      </c>
      <c r="V15" s="390"/>
      <c r="W15" s="260" t="str">
        <f t="shared" si="24"/>
        <v>0.0%</v>
      </c>
      <c r="X15" s="261" t="str">
        <f t="shared" si="25"/>
        <v>0.0%</v>
      </c>
      <c r="Y15" s="391">
        <f t="shared" si="26"/>
        <v>0</v>
      </c>
      <c r="Z15" s="260" t="str">
        <f t="shared" si="27"/>
        <v>0.0%</v>
      </c>
      <c r="AA15" s="307" t="str">
        <f t="shared" si="28"/>
        <v>0.0%</v>
      </c>
      <c r="AB15" s="386"/>
      <c r="AC15" s="260" t="str">
        <f t="shared" si="5"/>
        <v>0.0%</v>
      </c>
      <c r="AD15" s="307" t="str">
        <f t="shared" si="6"/>
        <v>0.0%</v>
      </c>
      <c r="AE15" s="386"/>
      <c r="AF15" s="260" t="str">
        <f t="shared" si="7"/>
        <v>0.0%</v>
      </c>
      <c r="AG15" s="307" t="str">
        <f t="shared" si="8"/>
        <v>0.0%</v>
      </c>
      <c r="AH15" s="386"/>
      <c r="AI15" s="260" t="str">
        <f t="shared" si="29"/>
        <v>0.0%</v>
      </c>
      <c r="AJ15" s="307" t="str">
        <f t="shared" si="30"/>
        <v>0.0%</v>
      </c>
      <c r="AK15" s="392">
        <f t="shared" si="31"/>
        <v>0</v>
      </c>
      <c r="AL15" s="320" t="str">
        <f t="shared" si="9"/>
        <v>0.0%</v>
      </c>
      <c r="AM15" s="321" t="str">
        <f t="shared" si="10"/>
        <v>0.0%</v>
      </c>
      <c r="AN15" s="386"/>
      <c r="AO15" s="260" t="str">
        <f t="shared" si="32"/>
        <v>0.0%</v>
      </c>
      <c r="AP15" s="307" t="str">
        <f t="shared" si="33"/>
        <v>0.0%</v>
      </c>
      <c r="AQ15" s="386"/>
      <c r="AR15" s="260" t="str">
        <f t="shared" si="11"/>
        <v>0.0%</v>
      </c>
      <c r="AS15" s="307" t="str">
        <f t="shared" si="12"/>
        <v>0.0%</v>
      </c>
      <c r="AT15" s="386"/>
      <c r="AU15" s="260" t="str">
        <f t="shared" si="34"/>
        <v>0.0%</v>
      </c>
      <c r="AV15" s="307" t="str">
        <f t="shared" si="35"/>
        <v>0.0%</v>
      </c>
      <c r="AW15" s="391">
        <f t="shared" si="36"/>
        <v>0</v>
      </c>
      <c r="AX15" s="260" t="str">
        <f t="shared" si="13"/>
        <v>0.0%</v>
      </c>
      <c r="AY15" s="307" t="str">
        <f t="shared" si="14"/>
        <v>0.0%</v>
      </c>
      <c r="AZ15" s="391">
        <f t="shared" si="37"/>
        <v>0</v>
      </c>
      <c r="BA15" s="260" t="str">
        <f t="shared" si="38"/>
        <v>0.0%</v>
      </c>
      <c r="BB15" s="307" t="str">
        <f t="shared" si="39"/>
        <v>0.0%</v>
      </c>
      <c r="BC15" s="391">
        <f t="shared" si="40"/>
        <v>0</v>
      </c>
      <c r="BD15" s="260" t="str">
        <f t="shared" si="41"/>
        <v>0.0%</v>
      </c>
      <c r="BE15" s="261" t="str">
        <f t="shared" si="42"/>
        <v>0.0%</v>
      </c>
      <c r="BF15" s="391">
        <f t="shared" si="43"/>
        <v>0</v>
      </c>
      <c r="BG15" s="260" t="str">
        <f t="shared" si="44"/>
        <v>0.0%</v>
      </c>
      <c r="BH15" s="261" t="str">
        <f t="shared" si="45"/>
        <v>0.0%</v>
      </c>
      <c r="BI15" s="391">
        <f t="shared" si="46"/>
        <v>0</v>
      </c>
      <c r="BJ15" s="260" t="str">
        <f t="shared" si="47"/>
        <v>0.0%</v>
      </c>
      <c r="BK15" s="261" t="str">
        <f t="shared" si="48"/>
        <v>0.0%</v>
      </c>
      <c r="BL15" s="391">
        <f t="shared" si="49"/>
        <v>0</v>
      </c>
      <c r="BM15" s="307" t="str">
        <f t="shared" si="50"/>
        <v>0.0%</v>
      </c>
    </row>
    <row r="16" spans="1:65" s="233" customFormat="1" ht="12" x14ac:dyDescent="0.2">
      <c r="A16" s="250"/>
      <c r="B16" s="386"/>
      <c r="C16" s="387">
        <f t="shared" si="15"/>
        <v>0</v>
      </c>
      <c r="D16" s="386"/>
      <c r="E16" s="260" t="str">
        <f t="shared" si="0"/>
        <v>0.0%</v>
      </c>
      <c r="F16" s="261" t="str">
        <f t="shared" si="16"/>
        <v>0.0%</v>
      </c>
      <c r="G16" s="386"/>
      <c r="H16" s="260" t="str">
        <f t="shared" si="17"/>
        <v>0.0%</v>
      </c>
      <c r="I16" s="261" t="str">
        <f t="shared" si="18"/>
        <v>0.0%</v>
      </c>
      <c r="J16" s="386"/>
      <c r="K16" s="260" t="str">
        <f t="shared" si="1"/>
        <v>0.0%</v>
      </c>
      <c r="L16" s="261" t="str">
        <f t="shared" si="2"/>
        <v>0.0%</v>
      </c>
      <c r="M16" s="388">
        <f t="shared" ref="M16:M29" si="51">ROUND(D16+G16+J16,0)</f>
        <v>0</v>
      </c>
      <c r="N16" s="260" t="str">
        <f t="shared" si="20"/>
        <v>0.0%</v>
      </c>
      <c r="O16" s="307" t="str">
        <f t="shared" si="21"/>
        <v>0.0%</v>
      </c>
      <c r="P16" s="389"/>
      <c r="Q16" s="260" t="str">
        <f t="shared" si="22"/>
        <v>0.0%</v>
      </c>
      <c r="R16" s="261" t="str">
        <f t="shared" si="23"/>
        <v>0.0%</v>
      </c>
      <c r="S16" s="386"/>
      <c r="T16" s="260" t="str">
        <f t="shared" si="3"/>
        <v>0.0%</v>
      </c>
      <c r="U16" s="307" t="str">
        <f t="shared" si="4"/>
        <v>0.0%</v>
      </c>
      <c r="V16" s="390"/>
      <c r="W16" s="260" t="str">
        <f t="shared" si="24"/>
        <v>0.0%</v>
      </c>
      <c r="X16" s="261" t="str">
        <f t="shared" si="25"/>
        <v>0.0%</v>
      </c>
      <c r="Y16" s="391">
        <f t="shared" ref="Y16:Y29" si="52">ROUND(V16+S16+P16,0)</f>
        <v>0</v>
      </c>
      <c r="Z16" s="260" t="str">
        <f t="shared" si="27"/>
        <v>0.0%</v>
      </c>
      <c r="AA16" s="307" t="str">
        <f t="shared" si="28"/>
        <v>0.0%</v>
      </c>
      <c r="AB16" s="386"/>
      <c r="AC16" s="260" t="str">
        <f t="shared" si="5"/>
        <v>0.0%</v>
      </c>
      <c r="AD16" s="307" t="str">
        <f t="shared" si="6"/>
        <v>0.0%</v>
      </c>
      <c r="AE16" s="386"/>
      <c r="AF16" s="260" t="str">
        <f t="shared" si="7"/>
        <v>0.0%</v>
      </c>
      <c r="AG16" s="307" t="str">
        <f t="shared" si="8"/>
        <v>0.0%</v>
      </c>
      <c r="AH16" s="386"/>
      <c r="AI16" s="260" t="str">
        <f t="shared" si="29"/>
        <v>0.0%</v>
      </c>
      <c r="AJ16" s="307" t="str">
        <f t="shared" si="30"/>
        <v>0.0%</v>
      </c>
      <c r="AK16" s="392">
        <f t="shared" si="31"/>
        <v>0</v>
      </c>
      <c r="AL16" s="320" t="str">
        <f t="shared" si="9"/>
        <v>0.0%</v>
      </c>
      <c r="AM16" s="321" t="str">
        <f t="shared" si="10"/>
        <v>0.0%</v>
      </c>
      <c r="AN16" s="386"/>
      <c r="AO16" s="260" t="str">
        <f t="shared" si="32"/>
        <v>0.0%</v>
      </c>
      <c r="AP16" s="307" t="str">
        <f t="shared" si="33"/>
        <v>0.0%</v>
      </c>
      <c r="AQ16" s="386"/>
      <c r="AR16" s="260" t="str">
        <f t="shared" si="11"/>
        <v>0.0%</v>
      </c>
      <c r="AS16" s="307" t="str">
        <f t="shared" si="12"/>
        <v>0.0%</v>
      </c>
      <c r="AT16" s="386"/>
      <c r="AU16" s="260" t="str">
        <f t="shared" si="34"/>
        <v>0.0%</v>
      </c>
      <c r="AV16" s="307" t="str">
        <f t="shared" si="35"/>
        <v>0.0%</v>
      </c>
      <c r="AW16" s="391">
        <f t="shared" ref="AW16:AW29" si="53">ROUND(AT16+AQ16+AN16,0)</f>
        <v>0</v>
      </c>
      <c r="AX16" s="260" t="str">
        <f t="shared" si="13"/>
        <v>0.0%</v>
      </c>
      <c r="AY16" s="307" t="str">
        <f t="shared" si="14"/>
        <v>0.0%</v>
      </c>
      <c r="AZ16" s="391">
        <f t="shared" si="37"/>
        <v>0</v>
      </c>
      <c r="BA16" s="260" t="str">
        <f t="shared" si="38"/>
        <v>0.0%</v>
      </c>
      <c r="BB16" s="307" t="str">
        <f t="shared" si="39"/>
        <v>0.0%</v>
      </c>
      <c r="BC16" s="391">
        <f t="shared" si="40"/>
        <v>0</v>
      </c>
      <c r="BD16" s="260" t="str">
        <f t="shared" si="41"/>
        <v>0.0%</v>
      </c>
      <c r="BE16" s="261" t="str">
        <f t="shared" si="42"/>
        <v>0.0%</v>
      </c>
      <c r="BF16" s="391">
        <f t="shared" si="43"/>
        <v>0</v>
      </c>
      <c r="BG16" s="260" t="str">
        <f t="shared" si="44"/>
        <v>0.0%</v>
      </c>
      <c r="BH16" s="261" t="str">
        <f t="shared" si="45"/>
        <v>0.0%</v>
      </c>
      <c r="BI16" s="391">
        <f t="shared" si="46"/>
        <v>0</v>
      </c>
      <c r="BJ16" s="260" t="str">
        <f t="shared" si="47"/>
        <v>0.0%</v>
      </c>
      <c r="BK16" s="261" t="str">
        <f t="shared" si="48"/>
        <v>0.0%</v>
      </c>
      <c r="BL16" s="391">
        <f t="shared" si="49"/>
        <v>0</v>
      </c>
      <c r="BM16" s="307" t="str">
        <f t="shared" si="50"/>
        <v>0.0%</v>
      </c>
    </row>
    <row r="17" spans="1:65" s="233" customFormat="1" ht="12" x14ac:dyDescent="0.2">
      <c r="A17" s="249" t="s">
        <v>44</v>
      </c>
      <c r="B17" s="386"/>
      <c r="C17" s="387">
        <f t="shared" si="15"/>
        <v>0</v>
      </c>
      <c r="D17" s="386"/>
      <c r="E17" s="260" t="str">
        <f t="shared" si="0"/>
        <v>0.0%</v>
      </c>
      <c r="F17" s="261" t="str">
        <f t="shared" si="16"/>
        <v>0.0%</v>
      </c>
      <c r="G17" s="386"/>
      <c r="H17" s="260" t="str">
        <f t="shared" si="17"/>
        <v>0.0%</v>
      </c>
      <c r="I17" s="261" t="str">
        <f t="shared" si="18"/>
        <v>0.0%</v>
      </c>
      <c r="J17" s="386"/>
      <c r="K17" s="260" t="str">
        <f t="shared" si="1"/>
        <v>0.0%</v>
      </c>
      <c r="L17" s="261" t="str">
        <f t="shared" si="2"/>
        <v>0.0%</v>
      </c>
      <c r="M17" s="388">
        <f t="shared" si="51"/>
        <v>0</v>
      </c>
      <c r="N17" s="260" t="str">
        <f t="shared" si="20"/>
        <v>0.0%</v>
      </c>
      <c r="O17" s="307" t="str">
        <f t="shared" si="21"/>
        <v>0.0%</v>
      </c>
      <c r="P17" s="389"/>
      <c r="Q17" s="260" t="str">
        <f t="shared" si="22"/>
        <v>0.0%</v>
      </c>
      <c r="R17" s="261" t="str">
        <f t="shared" si="23"/>
        <v>0.0%</v>
      </c>
      <c r="S17" s="386"/>
      <c r="T17" s="260" t="str">
        <f t="shared" si="3"/>
        <v>0.0%</v>
      </c>
      <c r="U17" s="307" t="str">
        <f t="shared" si="4"/>
        <v>0.0%</v>
      </c>
      <c r="V17" s="390"/>
      <c r="W17" s="260" t="str">
        <f t="shared" si="24"/>
        <v>0.0%</v>
      </c>
      <c r="X17" s="261" t="str">
        <f t="shared" si="25"/>
        <v>0.0%</v>
      </c>
      <c r="Y17" s="391">
        <f t="shared" si="52"/>
        <v>0</v>
      </c>
      <c r="Z17" s="260" t="str">
        <f t="shared" si="27"/>
        <v>0.0%</v>
      </c>
      <c r="AA17" s="307" t="str">
        <f t="shared" si="28"/>
        <v>0.0%</v>
      </c>
      <c r="AB17" s="386"/>
      <c r="AC17" s="260" t="str">
        <f t="shared" si="5"/>
        <v>0.0%</v>
      </c>
      <c r="AD17" s="307" t="str">
        <f t="shared" si="6"/>
        <v>0.0%</v>
      </c>
      <c r="AE17" s="386"/>
      <c r="AF17" s="260" t="str">
        <f t="shared" si="7"/>
        <v>0.0%</v>
      </c>
      <c r="AG17" s="307" t="str">
        <f t="shared" si="8"/>
        <v>0.0%</v>
      </c>
      <c r="AH17" s="386"/>
      <c r="AI17" s="260" t="str">
        <f t="shared" si="29"/>
        <v>0.0%</v>
      </c>
      <c r="AJ17" s="307" t="str">
        <f t="shared" si="30"/>
        <v>0.0%</v>
      </c>
      <c r="AK17" s="392">
        <f t="shared" si="31"/>
        <v>0</v>
      </c>
      <c r="AL17" s="320" t="str">
        <f t="shared" si="9"/>
        <v>0.0%</v>
      </c>
      <c r="AM17" s="321" t="str">
        <f t="shared" si="10"/>
        <v>0.0%</v>
      </c>
      <c r="AN17" s="386"/>
      <c r="AO17" s="260" t="str">
        <f t="shared" si="32"/>
        <v>0.0%</v>
      </c>
      <c r="AP17" s="307" t="str">
        <f t="shared" si="33"/>
        <v>0.0%</v>
      </c>
      <c r="AQ17" s="386"/>
      <c r="AR17" s="260" t="str">
        <f t="shared" si="11"/>
        <v>0.0%</v>
      </c>
      <c r="AS17" s="307" t="str">
        <f t="shared" si="12"/>
        <v>0.0%</v>
      </c>
      <c r="AT17" s="386"/>
      <c r="AU17" s="260" t="str">
        <f t="shared" si="34"/>
        <v>0.0%</v>
      </c>
      <c r="AV17" s="307" t="str">
        <f t="shared" si="35"/>
        <v>0.0%</v>
      </c>
      <c r="AW17" s="391">
        <f t="shared" si="53"/>
        <v>0</v>
      </c>
      <c r="AX17" s="260" t="str">
        <f t="shared" si="13"/>
        <v>0.0%</v>
      </c>
      <c r="AY17" s="307" t="str">
        <f t="shared" si="14"/>
        <v>0.0%</v>
      </c>
      <c r="AZ17" s="391">
        <f t="shared" si="37"/>
        <v>0</v>
      </c>
      <c r="BA17" s="260" t="str">
        <f t="shared" si="38"/>
        <v>0.0%</v>
      </c>
      <c r="BB17" s="307" t="str">
        <f t="shared" si="39"/>
        <v>0.0%</v>
      </c>
      <c r="BC17" s="391">
        <f t="shared" si="40"/>
        <v>0</v>
      </c>
      <c r="BD17" s="260" t="str">
        <f t="shared" si="41"/>
        <v>0.0%</v>
      </c>
      <c r="BE17" s="261" t="str">
        <f t="shared" si="42"/>
        <v>0.0%</v>
      </c>
      <c r="BF17" s="391">
        <f t="shared" si="43"/>
        <v>0</v>
      </c>
      <c r="BG17" s="260" t="str">
        <f t="shared" si="44"/>
        <v>0.0%</v>
      </c>
      <c r="BH17" s="261" t="str">
        <f t="shared" si="45"/>
        <v>0.0%</v>
      </c>
      <c r="BI17" s="391">
        <f t="shared" si="46"/>
        <v>0</v>
      </c>
      <c r="BJ17" s="260" t="str">
        <f t="shared" si="47"/>
        <v>0.0%</v>
      </c>
      <c r="BK17" s="261" t="str">
        <f t="shared" si="48"/>
        <v>0.0%</v>
      </c>
      <c r="BL17" s="391">
        <f t="shared" si="49"/>
        <v>0</v>
      </c>
      <c r="BM17" s="307" t="str">
        <f t="shared" si="50"/>
        <v>0.0%</v>
      </c>
    </row>
    <row r="18" spans="1:65" s="233" customFormat="1" ht="12" x14ac:dyDescent="0.2">
      <c r="A18" s="250" t="s">
        <v>45</v>
      </c>
      <c r="B18" s="386"/>
      <c r="C18" s="387">
        <f t="shared" si="15"/>
        <v>0</v>
      </c>
      <c r="D18" s="386"/>
      <c r="E18" s="260" t="str">
        <f t="shared" si="0"/>
        <v>0.0%</v>
      </c>
      <c r="F18" s="261" t="str">
        <f t="shared" si="16"/>
        <v>0.0%</v>
      </c>
      <c r="G18" s="386"/>
      <c r="H18" s="260" t="str">
        <f t="shared" si="17"/>
        <v>0.0%</v>
      </c>
      <c r="I18" s="261" t="str">
        <f t="shared" si="18"/>
        <v>0.0%</v>
      </c>
      <c r="J18" s="386"/>
      <c r="K18" s="260" t="str">
        <f t="shared" si="1"/>
        <v>0.0%</v>
      </c>
      <c r="L18" s="261" t="str">
        <f t="shared" si="2"/>
        <v>0.0%</v>
      </c>
      <c r="M18" s="388">
        <f t="shared" si="51"/>
        <v>0</v>
      </c>
      <c r="N18" s="260" t="str">
        <f t="shared" si="20"/>
        <v>0.0%</v>
      </c>
      <c r="O18" s="307" t="str">
        <f t="shared" si="21"/>
        <v>0.0%</v>
      </c>
      <c r="P18" s="389"/>
      <c r="Q18" s="260" t="str">
        <f t="shared" si="22"/>
        <v>0.0%</v>
      </c>
      <c r="R18" s="261" t="str">
        <f t="shared" si="23"/>
        <v>0.0%</v>
      </c>
      <c r="S18" s="386"/>
      <c r="T18" s="260" t="str">
        <f t="shared" si="3"/>
        <v>0.0%</v>
      </c>
      <c r="U18" s="307" t="str">
        <f t="shared" si="4"/>
        <v>0.0%</v>
      </c>
      <c r="V18" s="390"/>
      <c r="W18" s="260" t="str">
        <f t="shared" si="24"/>
        <v>0.0%</v>
      </c>
      <c r="X18" s="261" t="str">
        <f t="shared" si="25"/>
        <v>0.0%</v>
      </c>
      <c r="Y18" s="391">
        <f t="shared" si="52"/>
        <v>0</v>
      </c>
      <c r="Z18" s="260" t="str">
        <f t="shared" si="27"/>
        <v>0.0%</v>
      </c>
      <c r="AA18" s="307" t="str">
        <f t="shared" si="28"/>
        <v>0.0%</v>
      </c>
      <c r="AB18" s="386"/>
      <c r="AC18" s="260" t="str">
        <f t="shared" si="5"/>
        <v>0.0%</v>
      </c>
      <c r="AD18" s="307" t="str">
        <f t="shared" si="6"/>
        <v>0.0%</v>
      </c>
      <c r="AE18" s="386"/>
      <c r="AF18" s="260" t="str">
        <f t="shared" si="7"/>
        <v>0.0%</v>
      </c>
      <c r="AG18" s="307" t="str">
        <f t="shared" si="8"/>
        <v>0.0%</v>
      </c>
      <c r="AH18" s="386"/>
      <c r="AI18" s="260" t="str">
        <f t="shared" si="29"/>
        <v>0.0%</v>
      </c>
      <c r="AJ18" s="307" t="str">
        <f t="shared" si="30"/>
        <v>0.0%</v>
      </c>
      <c r="AK18" s="392">
        <f t="shared" si="31"/>
        <v>0</v>
      </c>
      <c r="AL18" s="320" t="str">
        <f t="shared" si="9"/>
        <v>0.0%</v>
      </c>
      <c r="AM18" s="321" t="str">
        <f t="shared" si="10"/>
        <v>0.0%</v>
      </c>
      <c r="AN18" s="386"/>
      <c r="AO18" s="260" t="str">
        <f t="shared" si="32"/>
        <v>0.0%</v>
      </c>
      <c r="AP18" s="307" t="str">
        <f t="shared" si="33"/>
        <v>0.0%</v>
      </c>
      <c r="AQ18" s="386"/>
      <c r="AR18" s="260" t="str">
        <f t="shared" si="11"/>
        <v>0.0%</v>
      </c>
      <c r="AS18" s="307" t="str">
        <f t="shared" si="12"/>
        <v>0.0%</v>
      </c>
      <c r="AT18" s="386"/>
      <c r="AU18" s="260" t="str">
        <f t="shared" si="34"/>
        <v>0.0%</v>
      </c>
      <c r="AV18" s="307" t="str">
        <f t="shared" si="35"/>
        <v>0.0%</v>
      </c>
      <c r="AW18" s="391">
        <f t="shared" si="53"/>
        <v>0</v>
      </c>
      <c r="AX18" s="260" t="str">
        <f t="shared" si="13"/>
        <v>0.0%</v>
      </c>
      <c r="AY18" s="307" t="str">
        <f t="shared" si="14"/>
        <v>0.0%</v>
      </c>
      <c r="AZ18" s="391">
        <f t="shared" si="37"/>
        <v>0</v>
      </c>
      <c r="BA18" s="260" t="str">
        <f t="shared" si="38"/>
        <v>0.0%</v>
      </c>
      <c r="BB18" s="307" t="str">
        <f t="shared" si="39"/>
        <v>0.0%</v>
      </c>
      <c r="BC18" s="391">
        <f t="shared" si="40"/>
        <v>0</v>
      </c>
      <c r="BD18" s="260" t="str">
        <f t="shared" si="41"/>
        <v>0.0%</v>
      </c>
      <c r="BE18" s="261" t="str">
        <f t="shared" si="42"/>
        <v>0.0%</v>
      </c>
      <c r="BF18" s="391">
        <f t="shared" si="43"/>
        <v>0</v>
      </c>
      <c r="BG18" s="260" t="str">
        <f t="shared" si="44"/>
        <v>0.0%</v>
      </c>
      <c r="BH18" s="261" t="str">
        <f t="shared" si="45"/>
        <v>0.0%</v>
      </c>
      <c r="BI18" s="391">
        <f t="shared" si="46"/>
        <v>0</v>
      </c>
      <c r="BJ18" s="260" t="str">
        <f t="shared" si="47"/>
        <v>0.0%</v>
      </c>
      <c r="BK18" s="261" t="str">
        <f t="shared" si="48"/>
        <v>0.0%</v>
      </c>
      <c r="BL18" s="391">
        <f t="shared" si="49"/>
        <v>0</v>
      </c>
      <c r="BM18" s="307" t="str">
        <f t="shared" si="50"/>
        <v>0.0%</v>
      </c>
    </row>
    <row r="19" spans="1:65" s="233" customFormat="1" ht="24" x14ac:dyDescent="0.2">
      <c r="A19" s="249" t="s">
        <v>434</v>
      </c>
      <c r="B19" s="386"/>
      <c r="C19" s="387">
        <f t="shared" si="15"/>
        <v>0</v>
      </c>
      <c r="D19" s="386"/>
      <c r="E19" s="260" t="str">
        <f t="shared" si="0"/>
        <v>0.0%</v>
      </c>
      <c r="F19" s="261" t="str">
        <f t="shared" si="16"/>
        <v>0.0%</v>
      </c>
      <c r="G19" s="386"/>
      <c r="H19" s="260" t="str">
        <f t="shared" si="17"/>
        <v>0.0%</v>
      </c>
      <c r="I19" s="261" t="str">
        <f t="shared" si="18"/>
        <v>0.0%</v>
      </c>
      <c r="J19" s="386"/>
      <c r="K19" s="260" t="str">
        <f t="shared" si="1"/>
        <v>0.0%</v>
      </c>
      <c r="L19" s="261" t="str">
        <f t="shared" si="2"/>
        <v>0.0%</v>
      </c>
      <c r="M19" s="388">
        <f t="shared" si="51"/>
        <v>0</v>
      </c>
      <c r="N19" s="260" t="str">
        <f t="shared" si="20"/>
        <v>0.0%</v>
      </c>
      <c r="O19" s="307" t="str">
        <f t="shared" si="21"/>
        <v>0.0%</v>
      </c>
      <c r="P19" s="389"/>
      <c r="Q19" s="260" t="str">
        <f t="shared" si="22"/>
        <v>0.0%</v>
      </c>
      <c r="R19" s="261" t="str">
        <f t="shared" si="23"/>
        <v>0.0%</v>
      </c>
      <c r="S19" s="386"/>
      <c r="T19" s="260" t="str">
        <f t="shared" si="3"/>
        <v>0.0%</v>
      </c>
      <c r="U19" s="307" t="str">
        <f t="shared" si="4"/>
        <v>0.0%</v>
      </c>
      <c r="V19" s="390"/>
      <c r="W19" s="260" t="str">
        <f t="shared" si="24"/>
        <v>0.0%</v>
      </c>
      <c r="X19" s="261" t="str">
        <f t="shared" si="25"/>
        <v>0.0%</v>
      </c>
      <c r="Y19" s="391">
        <f t="shared" si="52"/>
        <v>0</v>
      </c>
      <c r="Z19" s="260" t="str">
        <f t="shared" si="27"/>
        <v>0.0%</v>
      </c>
      <c r="AA19" s="307" t="str">
        <f t="shared" si="28"/>
        <v>0.0%</v>
      </c>
      <c r="AB19" s="386"/>
      <c r="AC19" s="260" t="str">
        <f t="shared" si="5"/>
        <v>0.0%</v>
      </c>
      <c r="AD19" s="307" t="str">
        <f t="shared" si="6"/>
        <v>0.0%</v>
      </c>
      <c r="AE19" s="386"/>
      <c r="AF19" s="260" t="str">
        <f t="shared" si="7"/>
        <v>0.0%</v>
      </c>
      <c r="AG19" s="307" t="str">
        <f t="shared" si="8"/>
        <v>0.0%</v>
      </c>
      <c r="AH19" s="386"/>
      <c r="AI19" s="260" t="str">
        <f t="shared" si="29"/>
        <v>0.0%</v>
      </c>
      <c r="AJ19" s="307" t="str">
        <f t="shared" si="30"/>
        <v>0.0%</v>
      </c>
      <c r="AK19" s="392">
        <f t="shared" si="31"/>
        <v>0</v>
      </c>
      <c r="AL19" s="320" t="str">
        <f t="shared" si="9"/>
        <v>0.0%</v>
      </c>
      <c r="AM19" s="321" t="str">
        <f t="shared" si="10"/>
        <v>0.0%</v>
      </c>
      <c r="AN19" s="386"/>
      <c r="AO19" s="260" t="str">
        <f t="shared" si="32"/>
        <v>0.0%</v>
      </c>
      <c r="AP19" s="307" t="str">
        <f t="shared" si="33"/>
        <v>0.0%</v>
      </c>
      <c r="AQ19" s="386"/>
      <c r="AR19" s="260" t="str">
        <f t="shared" si="11"/>
        <v>0.0%</v>
      </c>
      <c r="AS19" s="307" t="str">
        <f t="shared" si="12"/>
        <v>0.0%</v>
      </c>
      <c r="AT19" s="386"/>
      <c r="AU19" s="260" t="str">
        <f t="shared" si="34"/>
        <v>0.0%</v>
      </c>
      <c r="AV19" s="307" t="str">
        <f t="shared" si="35"/>
        <v>0.0%</v>
      </c>
      <c r="AW19" s="391">
        <f t="shared" si="53"/>
        <v>0</v>
      </c>
      <c r="AX19" s="260" t="str">
        <f t="shared" si="13"/>
        <v>0.0%</v>
      </c>
      <c r="AY19" s="307" t="str">
        <f t="shared" si="14"/>
        <v>0.0%</v>
      </c>
      <c r="AZ19" s="391">
        <f t="shared" si="37"/>
        <v>0</v>
      </c>
      <c r="BA19" s="260" t="str">
        <f t="shared" si="38"/>
        <v>0.0%</v>
      </c>
      <c r="BB19" s="307" t="str">
        <f t="shared" si="39"/>
        <v>0.0%</v>
      </c>
      <c r="BC19" s="391">
        <f t="shared" si="40"/>
        <v>0</v>
      </c>
      <c r="BD19" s="260" t="str">
        <f t="shared" si="41"/>
        <v>0.0%</v>
      </c>
      <c r="BE19" s="261" t="str">
        <f t="shared" si="42"/>
        <v>0.0%</v>
      </c>
      <c r="BF19" s="391">
        <f t="shared" si="43"/>
        <v>0</v>
      </c>
      <c r="BG19" s="260" t="str">
        <f t="shared" si="44"/>
        <v>0.0%</v>
      </c>
      <c r="BH19" s="261" t="str">
        <f t="shared" si="45"/>
        <v>0.0%</v>
      </c>
      <c r="BI19" s="391">
        <f t="shared" si="46"/>
        <v>0</v>
      </c>
      <c r="BJ19" s="260" t="str">
        <f t="shared" si="47"/>
        <v>0.0%</v>
      </c>
      <c r="BK19" s="261" t="str">
        <f t="shared" si="48"/>
        <v>0.0%</v>
      </c>
      <c r="BL19" s="391">
        <f t="shared" si="49"/>
        <v>0</v>
      </c>
      <c r="BM19" s="307" t="str">
        <f t="shared" si="50"/>
        <v>0.0%</v>
      </c>
    </row>
    <row r="20" spans="1:65" s="233" customFormat="1" ht="12" x14ac:dyDescent="0.2">
      <c r="A20" s="250"/>
      <c r="B20" s="386"/>
      <c r="C20" s="387">
        <f t="shared" si="15"/>
        <v>0</v>
      </c>
      <c r="D20" s="386"/>
      <c r="E20" s="260" t="str">
        <f t="shared" si="0"/>
        <v>0.0%</v>
      </c>
      <c r="F20" s="261" t="str">
        <f t="shared" si="16"/>
        <v>0.0%</v>
      </c>
      <c r="G20" s="386"/>
      <c r="H20" s="260" t="str">
        <f t="shared" si="17"/>
        <v>0.0%</v>
      </c>
      <c r="I20" s="261" t="str">
        <f t="shared" si="18"/>
        <v>0.0%</v>
      </c>
      <c r="J20" s="386"/>
      <c r="K20" s="260" t="str">
        <f t="shared" si="1"/>
        <v>0.0%</v>
      </c>
      <c r="L20" s="261" t="str">
        <f t="shared" si="2"/>
        <v>0.0%</v>
      </c>
      <c r="M20" s="388">
        <f t="shared" si="51"/>
        <v>0</v>
      </c>
      <c r="N20" s="260" t="str">
        <f t="shared" si="20"/>
        <v>0.0%</v>
      </c>
      <c r="O20" s="307" t="str">
        <f t="shared" si="21"/>
        <v>0.0%</v>
      </c>
      <c r="P20" s="389"/>
      <c r="Q20" s="260" t="str">
        <f t="shared" si="22"/>
        <v>0.0%</v>
      </c>
      <c r="R20" s="261" t="str">
        <f t="shared" si="23"/>
        <v>0.0%</v>
      </c>
      <c r="S20" s="386"/>
      <c r="T20" s="260" t="str">
        <f t="shared" si="3"/>
        <v>0.0%</v>
      </c>
      <c r="U20" s="307" t="str">
        <f t="shared" si="4"/>
        <v>0.0%</v>
      </c>
      <c r="V20" s="390"/>
      <c r="W20" s="260" t="str">
        <f t="shared" si="24"/>
        <v>0.0%</v>
      </c>
      <c r="X20" s="261" t="str">
        <f t="shared" si="25"/>
        <v>0.0%</v>
      </c>
      <c r="Y20" s="391">
        <f t="shared" si="52"/>
        <v>0</v>
      </c>
      <c r="Z20" s="260" t="str">
        <f t="shared" si="27"/>
        <v>0.0%</v>
      </c>
      <c r="AA20" s="307" t="str">
        <f t="shared" si="28"/>
        <v>0.0%</v>
      </c>
      <c r="AB20" s="386"/>
      <c r="AC20" s="260" t="str">
        <f t="shared" si="5"/>
        <v>0.0%</v>
      </c>
      <c r="AD20" s="307" t="str">
        <f t="shared" si="6"/>
        <v>0.0%</v>
      </c>
      <c r="AE20" s="386"/>
      <c r="AF20" s="260" t="str">
        <f t="shared" si="7"/>
        <v>0.0%</v>
      </c>
      <c r="AG20" s="307" t="str">
        <f t="shared" si="8"/>
        <v>0.0%</v>
      </c>
      <c r="AH20" s="386"/>
      <c r="AI20" s="260" t="str">
        <f t="shared" si="29"/>
        <v>0.0%</v>
      </c>
      <c r="AJ20" s="307" t="str">
        <f t="shared" si="30"/>
        <v>0.0%</v>
      </c>
      <c r="AK20" s="392">
        <f t="shared" si="31"/>
        <v>0</v>
      </c>
      <c r="AL20" s="320" t="str">
        <f t="shared" si="9"/>
        <v>0.0%</v>
      </c>
      <c r="AM20" s="321" t="str">
        <f t="shared" si="10"/>
        <v>0.0%</v>
      </c>
      <c r="AN20" s="386"/>
      <c r="AO20" s="260" t="str">
        <f t="shared" si="32"/>
        <v>0.0%</v>
      </c>
      <c r="AP20" s="307" t="str">
        <f t="shared" si="33"/>
        <v>0.0%</v>
      </c>
      <c r="AQ20" s="386"/>
      <c r="AR20" s="260" t="str">
        <f t="shared" si="11"/>
        <v>0.0%</v>
      </c>
      <c r="AS20" s="307" t="str">
        <f t="shared" si="12"/>
        <v>0.0%</v>
      </c>
      <c r="AT20" s="386"/>
      <c r="AU20" s="260" t="str">
        <f t="shared" si="34"/>
        <v>0.0%</v>
      </c>
      <c r="AV20" s="307" t="str">
        <f t="shared" si="35"/>
        <v>0.0%</v>
      </c>
      <c r="AW20" s="391">
        <f t="shared" si="53"/>
        <v>0</v>
      </c>
      <c r="AX20" s="260" t="str">
        <f t="shared" si="13"/>
        <v>0.0%</v>
      </c>
      <c r="AY20" s="307" t="str">
        <f t="shared" si="14"/>
        <v>0.0%</v>
      </c>
      <c r="AZ20" s="391">
        <f t="shared" si="37"/>
        <v>0</v>
      </c>
      <c r="BA20" s="260" t="str">
        <f t="shared" si="38"/>
        <v>0.0%</v>
      </c>
      <c r="BB20" s="307" t="str">
        <f t="shared" si="39"/>
        <v>0.0%</v>
      </c>
      <c r="BC20" s="391">
        <f t="shared" si="40"/>
        <v>0</v>
      </c>
      <c r="BD20" s="260" t="str">
        <f t="shared" si="41"/>
        <v>0.0%</v>
      </c>
      <c r="BE20" s="261" t="str">
        <f t="shared" si="42"/>
        <v>0.0%</v>
      </c>
      <c r="BF20" s="391">
        <f t="shared" si="43"/>
        <v>0</v>
      </c>
      <c r="BG20" s="260" t="str">
        <f t="shared" si="44"/>
        <v>0.0%</v>
      </c>
      <c r="BH20" s="261" t="str">
        <f t="shared" si="45"/>
        <v>0.0%</v>
      </c>
      <c r="BI20" s="391">
        <f t="shared" si="46"/>
        <v>0</v>
      </c>
      <c r="BJ20" s="260" t="str">
        <f t="shared" si="47"/>
        <v>0.0%</v>
      </c>
      <c r="BK20" s="261" t="str">
        <f t="shared" si="48"/>
        <v>0.0%</v>
      </c>
      <c r="BL20" s="391">
        <f t="shared" si="49"/>
        <v>0</v>
      </c>
      <c r="BM20" s="307" t="str">
        <f t="shared" si="50"/>
        <v>0.0%</v>
      </c>
    </row>
    <row r="21" spans="1:65" s="233" customFormat="1" ht="12" x14ac:dyDescent="0.2">
      <c r="A21" s="249"/>
      <c r="B21" s="386"/>
      <c r="C21" s="387">
        <f t="shared" si="15"/>
        <v>0</v>
      </c>
      <c r="D21" s="386"/>
      <c r="E21" s="260" t="str">
        <f t="shared" si="0"/>
        <v>0.0%</v>
      </c>
      <c r="F21" s="261" t="str">
        <f t="shared" si="16"/>
        <v>0.0%</v>
      </c>
      <c r="G21" s="386"/>
      <c r="H21" s="260" t="str">
        <f t="shared" si="17"/>
        <v>0.0%</v>
      </c>
      <c r="I21" s="261" t="str">
        <f t="shared" si="18"/>
        <v>0.0%</v>
      </c>
      <c r="J21" s="386"/>
      <c r="K21" s="260" t="str">
        <f t="shared" si="1"/>
        <v>0.0%</v>
      </c>
      <c r="L21" s="261" t="str">
        <f t="shared" si="2"/>
        <v>0.0%</v>
      </c>
      <c r="M21" s="388">
        <f t="shared" si="51"/>
        <v>0</v>
      </c>
      <c r="N21" s="260" t="str">
        <f t="shared" si="20"/>
        <v>0.0%</v>
      </c>
      <c r="O21" s="307" t="str">
        <f t="shared" si="21"/>
        <v>0.0%</v>
      </c>
      <c r="P21" s="389"/>
      <c r="Q21" s="260" t="str">
        <f t="shared" si="22"/>
        <v>0.0%</v>
      </c>
      <c r="R21" s="261" t="str">
        <f t="shared" si="23"/>
        <v>0.0%</v>
      </c>
      <c r="S21" s="386"/>
      <c r="T21" s="260" t="str">
        <f t="shared" si="3"/>
        <v>0.0%</v>
      </c>
      <c r="U21" s="307" t="str">
        <f t="shared" si="4"/>
        <v>0.0%</v>
      </c>
      <c r="V21" s="390"/>
      <c r="W21" s="260" t="str">
        <f t="shared" si="24"/>
        <v>0.0%</v>
      </c>
      <c r="X21" s="261" t="str">
        <f t="shared" si="25"/>
        <v>0.0%</v>
      </c>
      <c r="Y21" s="391">
        <f t="shared" si="52"/>
        <v>0</v>
      </c>
      <c r="Z21" s="260" t="str">
        <f t="shared" si="27"/>
        <v>0.0%</v>
      </c>
      <c r="AA21" s="307" t="str">
        <f t="shared" si="28"/>
        <v>0.0%</v>
      </c>
      <c r="AB21" s="386"/>
      <c r="AC21" s="260" t="str">
        <f t="shared" si="5"/>
        <v>0.0%</v>
      </c>
      <c r="AD21" s="307" t="str">
        <f t="shared" si="6"/>
        <v>0.0%</v>
      </c>
      <c r="AE21" s="386"/>
      <c r="AF21" s="260" t="str">
        <f t="shared" si="7"/>
        <v>0.0%</v>
      </c>
      <c r="AG21" s="307" t="str">
        <f t="shared" si="8"/>
        <v>0.0%</v>
      </c>
      <c r="AH21" s="386"/>
      <c r="AI21" s="260" t="str">
        <f t="shared" si="29"/>
        <v>0.0%</v>
      </c>
      <c r="AJ21" s="307" t="str">
        <f t="shared" si="30"/>
        <v>0.0%</v>
      </c>
      <c r="AK21" s="392">
        <f t="shared" si="31"/>
        <v>0</v>
      </c>
      <c r="AL21" s="320" t="str">
        <f t="shared" si="9"/>
        <v>0.0%</v>
      </c>
      <c r="AM21" s="321" t="str">
        <f t="shared" si="10"/>
        <v>0.0%</v>
      </c>
      <c r="AN21" s="386"/>
      <c r="AO21" s="260" t="str">
        <f t="shared" si="32"/>
        <v>0.0%</v>
      </c>
      <c r="AP21" s="307" t="str">
        <f t="shared" si="33"/>
        <v>0.0%</v>
      </c>
      <c r="AQ21" s="386"/>
      <c r="AR21" s="260" t="str">
        <f t="shared" si="11"/>
        <v>0.0%</v>
      </c>
      <c r="AS21" s="307" t="str">
        <f t="shared" si="12"/>
        <v>0.0%</v>
      </c>
      <c r="AT21" s="386"/>
      <c r="AU21" s="260" t="str">
        <f t="shared" si="34"/>
        <v>0.0%</v>
      </c>
      <c r="AV21" s="307" t="str">
        <f t="shared" si="35"/>
        <v>0.0%</v>
      </c>
      <c r="AW21" s="391">
        <f t="shared" si="53"/>
        <v>0</v>
      </c>
      <c r="AX21" s="260" t="str">
        <f t="shared" si="13"/>
        <v>0.0%</v>
      </c>
      <c r="AY21" s="307" t="str">
        <f t="shared" si="14"/>
        <v>0.0%</v>
      </c>
      <c r="AZ21" s="391">
        <f t="shared" si="37"/>
        <v>0</v>
      </c>
      <c r="BA21" s="260" t="str">
        <f t="shared" si="38"/>
        <v>0.0%</v>
      </c>
      <c r="BB21" s="307" t="str">
        <f t="shared" si="39"/>
        <v>0.0%</v>
      </c>
      <c r="BC21" s="391">
        <f t="shared" si="40"/>
        <v>0</v>
      </c>
      <c r="BD21" s="260" t="str">
        <f t="shared" si="41"/>
        <v>0.0%</v>
      </c>
      <c r="BE21" s="261" t="str">
        <f t="shared" si="42"/>
        <v>0.0%</v>
      </c>
      <c r="BF21" s="391">
        <f t="shared" si="43"/>
        <v>0</v>
      </c>
      <c r="BG21" s="260" t="str">
        <f t="shared" si="44"/>
        <v>0.0%</v>
      </c>
      <c r="BH21" s="261" t="str">
        <f t="shared" si="45"/>
        <v>0.0%</v>
      </c>
      <c r="BI21" s="391">
        <f t="shared" si="46"/>
        <v>0</v>
      </c>
      <c r="BJ21" s="260" t="str">
        <f t="shared" si="47"/>
        <v>0.0%</v>
      </c>
      <c r="BK21" s="261" t="str">
        <f t="shared" si="48"/>
        <v>0.0%</v>
      </c>
      <c r="BL21" s="391">
        <f t="shared" si="49"/>
        <v>0</v>
      </c>
      <c r="BM21" s="307" t="str">
        <f t="shared" si="50"/>
        <v>0.0%</v>
      </c>
    </row>
    <row r="22" spans="1:65" s="233" customFormat="1" ht="12" x14ac:dyDescent="0.2">
      <c r="A22" s="250"/>
      <c r="B22" s="386"/>
      <c r="C22" s="387">
        <f t="shared" si="15"/>
        <v>0</v>
      </c>
      <c r="D22" s="386"/>
      <c r="E22" s="260" t="str">
        <f t="shared" si="0"/>
        <v>0.0%</v>
      </c>
      <c r="F22" s="261" t="str">
        <f t="shared" si="16"/>
        <v>0.0%</v>
      </c>
      <c r="G22" s="386"/>
      <c r="H22" s="260" t="str">
        <f t="shared" si="17"/>
        <v>0.0%</v>
      </c>
      <c r="I22" s="261" t="str">
        <f t="shared" si="18"/>
        <v>0.0%</v>
      </c>
      <c r="J22" s="386"/>
      <c r="K22" s="260" t="str">
        <f t="shared" si="1"/>
        <v>0.0%</v>
      </c>
      <c r="L22" s="261" t="str">
        <f t="shared" si="2"/>
        <v>0.0%</v>
      </c>
      <c r="M22" s="388">
        <f t="shared" si="51"/>
        <v>0</v>
      </c>
      <c r="N22" s="260" t="str">
        <f t="shared" si="20"/>
        <v>0.0%</v>
      </c>
      <c r="O22" s="307" t="str">
        <f t="shared" si="21"/>
        <v>0.0%</v>
      </c>
      <c r="P22" s="389"/>
      <c r="Q22" s="260" t="str">
        <f t="shared" si="22"/>
        <v>0.0%</v>
      </c>
      <c r="R22" s="261" t="str">
        <f t="shared" si="23"/>
        <v>0.0%</v>
      </c>
      <c r="S22" s="386"/>
      <c r="T22" s="260" t="str">
        <f t="shared" si="3"/>
        <v>0.0%</v>
      </c>
      <c r="U22" s="307" t="str">
        <f t="shared" si="4"/>
        <v>0.0%</v>
      </c>
      <c r="V22" s="390"/>
      <c r="W22" s="260" t="str">
        <f t="shared" si="24"/>
        <v>0.0%</v>
      </c>
      <c r="X22" s="261" t="str">
        <f t="shared" si="25"/>
        <v>0.0%</v>
      </c>
      <c r="Y22" s="391">
        <f t="shared" si="52"/>
        <v>0</v>
      </c>
      <c r="Z22" s="260" t="str">
        <f t="shared" si="27"/>
        <v>0.0%</v>
      </c>
      <c r="AA22" s="307" t="str">
        <f t="shared" si="28"/>
        <v>0.0%</v>
      </c>
      <c r="AB22" s="386"/>
      <c r="AC22" s="260" t="str">
        <f t="shared" si="5"/>
        <v>0.0%</v>
      </c>
      <c r="AD22" s="307" t="str">
        <f t="shared" si="6"/>
        <v>0.0%</v>
      </c>
      <c r="AE22" s="386"/>
      <c r="AF22" s="260" t="str">
        <f t="shared" si="7"/>
        <v>0.0%</v>
      </c>
      <c r="AG22" s="307" t="str">
        <f t="shared" si="8"/>
        <v>0.0%</v>
      </c>
      <c r="AH22" s="386"/>
      <c r="AI22" s="260" t="str">
        <f t="shared" si="29"/>
        <v>0.0%</v>
      </c>
      <c r="AJ22" s="307" t="str">
        <f t="shared" si="30"/>
        <v>0.0%</v>
      </c>
      <c r="AK22" s="392">
        <f t="shared" si="31"/>
        <v>0</v>
      </c>
      <c r="AL22" s="320" t="str">
        <f t="shared" si="9"/>
        <v>0.0%</v>
      </c>
      <c r="AM22" s="321" t="str">
        <f t="shared" si="10"/>
        <v>0.0%</v>
      </c>
      <c r="AN22" s="386"/>
      <c r="AO22" s="260" t="str">
        <f t="shared" si="32"/>
        <v>0.0%</v>
      </c>
      <c r="AP22" s="307" t="str">
        <f t="shared" si="33"/>
        <v>0.0%</v>
      </c>
      <c r="AQ22" s="386"/>
      <c r="AR22" s="260" t="str">
        <f t="shared" si="11"/>
        <v>0.0%</v>
      </c>
      <c r="AS22" s="307" t="str">
        <f t="shared" si="12"/>
        <v>0.0%</v>
      </c>
      <c r="AT22" s="386"/>
      <c r="AU22" s="260" t="str">
        <f t="shared" si="34"/>
        <v>0.0%</v>
      </c>
      <c r="AV22" s="307" t="str">
        <f t="shared" si="35"/>
        <v>0.0%</v>
      </c>
      <c r="AW22" s="391">
        <f t="shared" si="53"/>
        <v>0</v>
      </c>
      <c r="AX22" s="260" t="str">
        <f t="shared" si="13"/>
        <v>0.0%</v>
      </c>
      <c r="AY22" s="307" t="str">
        <f t="shared" si="14"/>
        <v>0.0%</v>
      </c>
      <c r="AZ22" s="391">
        <f t="shared" si="37"/>
        <v>0</v>
      </c>
      <c r="BA22" s="260" t="str">
        <f t="shared" si="38"/>
        <v>0.0%</v>
      </c>
      <c r="BB22" s="307" t="str">
        <f t="shared" si="39"/>
        <v>0.0%</v>
      </c>
      <c r="BC22" s="391">
        <f t="shared" si="40"/>
        <v>0</v>
      </c>
      <c r="BD22" s="260" t="str">
        <f t="shared" si="41"/>
        <v>0.0%</v>
      </c>
      <c r="BE22" s="261" t="str">
        <f t="shared" si="42"/>
        <v>0.0%</v>
      </c>
      <c r="BF22" s="391">
        <f t="shared" si="43"/>
        <v>0</v>
      </c>
      <c r="BG22" s="260" t="str">
        <f t="shared" si="44"/>
        <v>0.0%</v>
      </c>
      <c r="BH22" s="261" t="str">
        <f t="shared" si="45"/>
        <v>0.0%</v>
      </c>
      <c r="BI22" s="391">
        <f t="shared" si="46"/>
        <v>0</v>
      </c>
      <c r="BJ22" s="260" t="str">
        <f t="shared" si="47"/>
        <v>0.0%</v>
      </c>
      <c r="BK22" s="261" t="str">
        <f t="shared" si="48"/>
        <v>0.0%</v>
      </c>
      <c r="BL22" s="391">
        <f t="shared" si="49"/>
        <v>0</v>
      </c>
      <c r="BM22" s="307" t="str">
        <f t="shared" si="50"/>
        <v>0.0%</v>
      </c>
    </row>
    <row r="23" spans="1:65" s="233" customFormat="1" ht="12" x14ac:dyDescent="0.2">
      <c r="A23" s="249"/>
      <c r="B23" s="386"/>
      <c r="C23" s="387">
        <f t="shared" si="15"/>
        <v>0</v>
      </c>
      <c r="D23" s="386"/>
      <c r="E23" s="260" t="str">
        <f t="shared" si="0"/>
        <v>0.0%</v>
      </c>
      <c r="F23" s="261" t="str">
        <f t="shared" si="16"/>
        <v>0.0%</v>
      </c>
      <c r="G23" s="386"/>
      <c r="H23" s="260" t="str">
        <f t="shared" si="17"/>
        <v>0.0%</v>
      </c>
      <c r="I23" s="261" t="str">
        <f t="shared" si="18"/>
        <v>0.0%</v>
      </c>
      <c r="J23" s="386"/>
      <c r="K23" s="260" t="str">
        <f t="shared" si="1"/>
        <v>0.0%</v>
      </c>
      <c r="L23" s="261" t="str">
        <f t="shared" si="2"/>
        <v>0.0%</v>
      </c>
      <c r="M23" s="388">
        <f t="shared" si="51"/>
        <v>0</v>
      </c>
      <c r="N23" s="260" t="str">
        <f t="shared" si="20"/>
        <v>0.0%</v>
      </c>
      <c r="O23" s="307" t="str">
        <f t="shared" si="21"/>
        <v>0.0%</v>
      </c>
      <c r="P23" s="389"/>
      <c r="Q23" s="260" t="str">
        <f t="shared" si="22"/>
        <v>0.0%</v>
      </c>
      <c r="R23" s="261" t="str">
        <f t="shared" si="23"/>
        <v>0.0%</v>
      </c>
      <c r="S23" s="386"/>
      <c r="T23" s="260" t="str">
        <f t="shared" si="3"/>
        <v>0.0%</v>
      </c>
      <c r="U23" s="307" t="str">
        <f t="shared" si="4"/>
        <v>0.0%</v>
      </c>
      <c r="V23" s="390"/>
      <c r="W23" s="260" t="str">
        <f t="shared" si="24"/>
        <v>0.0%</v>
      </c>
      <c r="X23" s="261" t="str">
        <f t="shared" si="25"/>
        <v>0.0%</v>
      </c>
      <c r="Y23" s="391">
        <f t="shared" si="52"/>
        <v>0</v>
      </c>
      <c r="Z23" s="260" t="str">
        <f t="shared" si="27"/>
        <v>0.0%</v>
      </c>
      <c r="AA23" s="307" t="str">
        <f t="shared" si="28"/>
        <v>0.0%</v>
      </c>
      <c r="AB23" s="386"/>
      <c r="AC23" s="260" t="str">
        <f t="shared" si="5"/>
        <v>0.0%</v>
      </c>
      <c r="AD23" s="307" t="str">
        <f t="shared" si="6"/>
        <v>0.0%</v>
      </c>
      <c r="AE23" s="386"/>
      <c r="AF23" s="260" t="str">
        <f t="shared" si="7"/>
        <v>0.0%</v>
      </c>
      <c r="AG23" s="307" t="str">
        <f t="shared" si="8"/>
        <v>0.0%</v>
      </c>
      <c r="AH23" s="386"/>
      <c r="AI23" s="260" t="str">
        <f t="shared" si="29"/>
        <v>0.0%</v>
      </c>
      <c r="AJ23" s="307" t="str">
        <f t="shared" si="30"/>
        <v>0.0%</v>
      </c>
      <c r="AK23" s="392">
        <f t="shared" si="31"/>
        <v>0</v>
      </c>
      <c r="AL23" s="320" t="str">
        <f t="shared" si="9"/>
        <v>0.0%</v>
      </c>
      <c r="AM23" s="321" t="str">
        <f t="shared" si="10"/>
        <v>0.0%</v>
      </c>
      <c r="AN23" s="386"/>
      <c r="AO23" s="260" t="str">
        <f t="shared" si="32"/>
        <v>0.0%</v>
      </c>
      <c r="AP23" s="307" t="str">
        <f t="shared" si="33"/>
        <v>0.0%</v>
      </c>
      <c r="AQ23" s="386"/>
      <c r="AR23" s="260" t="str">
        <f t="shared" si="11"/>
        <v>0.0%</v>
      </c>
      <c r="AS23" s="307" t="str">
        <f t="shared" si="12"/>
        <v>0.0%</v>
      </c>
      <c r="AT23" s="386"/>
      <c r="AU23" s="260" t="str">
        <f t="shared" si="34"/>
        <v>0.0%</v>
      </c>
      <c r="AV23" s="307" t="str">
        <f t="shared" si="35"/>
        <v>0.0%</v>
      </c>
      <c r="AW23" s="391">
        <f t="shared" si="53"/>
        <v>0</v>
      </c>
      <c r="AX23" s="260" t="str">
        <f t="shared" si="13"/>
        <v>0.0%</v>
      </c>
      <c r="AY23" s="307" t="str">
        <f t="shared" si="14"/>
        <v>0.0%</v>
      </c>
      <c r="AZ23" s="391">
        <f t="shared" si="37"/>
        <v>0</v>
      </c>
      <c r="BA23" s="260" t="str">
        <f t="shared" si="38"/>
        <v>0.0%</v>
      </c>
      <c r="BB23" s="307" t="str">
        <f t="shared" si="39"/>
        <v>0.0%</v>
      </c>
      <c r="BC23" s="391">
        <f t="shared" si="40"/>
        <v>0</v>
      </c>
      <c r="BD23" s="260" t="str">
        <f t="shared" si="41"/>
        <v>0.0%</v>
      </c>
      <c r="BE23" s="261" t="str">
        <f t="shared" si="42"/>
        <v>0.0%</v>
      </c>
      <c r="BF23" s="391">
        <f t="shared" si="43"/>
        <v>0</v>
      </c>
      <c r="BG23" s="260" t="str">
        <f t="shared" si="44"/>
        <v>0.0%</v>
      </c>
      <c r="BH23" s="261" t="str">
        <f t="shared" si="45"/>
        <v>0.0%</v>
      </c>
      <c r="BI23" s="391">
        <f t="shared" si="46"/>
        <v>0</v>
      </c>
      <c r="BJ23" s="260" t="str">
        <f t="shared" si="47"/>
        <v>0.0%</v>
      </c>
      <c r="BK23" s="261" t="str">
        <f t="shared" si="48"/>
        <v>0.0%</v>
      </c>
      <c r="BL23" s="391">
        <f t="shared" si="49"/>
        <v>0</v>
      </c>
      <c r="BM23" s="307" t="str">
        <f t="shared" si="50"/>
        <v>0.0%</v>
      </c>
    </row>
    <row r="24" spans="1:65" s="233" customFormat="1" ht="12" x14ac:dyDescent="0.2">
      <c r="A24" s="250"/>
      <c r="B24" s="386"/>
      <c r="C24" s="387">
        <f t="shared" si="15"/>
        <v>0</v>
      </c>
      <c r="D24" s="386"/>
      <c r="E24" s="260" t="str">
        <f t="shared" si="0"/>
        <v>0.0%</v>
      </c>
      <c r="F24" s="261" t="str">
        <f t="shared" si="16"/>
        <v>0.0%</v>
      </c>
      <c r="G24" s="386"/>
      <c r="H24" s="260" t="str">
        <f t="shared" si="17"/>
        <v>0.0%</v>
      </c>
      <c r="I24" s="261" t="str">
        <f t="shared" si="18"/>
        <v>0.0%</v>
      </c>
      <c r="J24" s="386"/>
      <c r="K24" s="260" t="str">
        <f t="shared" si="1"/>
        <v>0.0%</v>
      </c>
      <c r="L24" s="261" t="str">
        <f t="shared" si="2"/>
        <v>0.0%</v>
      </c>
      <c r="M24" s="388">
        <f t="shared" si="51"/>
        <v>0</v>
      </c>
      <c r="N24" s="260" t="str">
        <f t="shared" si="20"/>
        <v>0.0%</v>
      </c>
      <c r="O24" s="307" t="str">
        <f t="shared" si="21"/>
        <v>0.0%</v>
      </c>
      <c r="P24" s="389"/>
      <c r="Q24" s="260" t="str">
        <f t="shared" si="22"/>
        <v>0.0%</v>
      </c>
      <c r="R24" s="261" t="str">
        <f t="shared" si="23"/>
        <v>0.0%</v>
      </c>
      <c r="S24" s="386"/>
      <c r="T24" s="260" t="str">
        <f t="shared" si="3"/>
        <v>0.0%</v>
      </c>
      <c r="U24" s="307" t="str">
        <f t="shared" si="4"/>
        <v>0.0%</v>
      </c>
      <c r="V24" s="390"/>
      <c r="W24" s="260" t="str">
        <f t="shared" si="24"/>
        <v>0.0%</v>
      </c>
      <c r="X24" s="261" t="str">
        <f t="shared" si="25"/>
        <v>0.0%</v>
      </c>
      <c r="Y24" s="391">
        <f t="shared" si="52"/>
        <v>0</v>
      </c>
      <c r="Z24" s="260" t="str">
        <f t="shared" si="27"/>
        <v>0.0%</v>
      </c>
      <c r="AA24" s="307" t="str">
        <f t="shared" si="28"/>
        <v>0.0%</v>
      </c>
      <c r="AB24" s="386"/>
      <c r="AC24" s="260" t="str">
        <f t="shared" si="5"/>
        <v>0.0%</v>
      </c>
      <c r="AD24" s="307" t="str">
        <f t="shared" si="6"/>
        <v>0.0%</v>
      </c>
      <c r="AE24" s="386"/>
      <c r="AF24" s="260" t="str">
        <f t="shared" si="7"/>
        <v>0.0%</v>
      </c>
      <c r="AG24" s="307" t="str">
        <f t="shared" si="8"/>
        <v>0.0%</v>
      </c>
      <c r="AH24" s="386"/>
      <c r="AI24" s="260" t="str">
        <f t="shared" si="29"/>
        <v>0.0%</v>
      </c>
      <c r="AJ24" s="307" t="str">
        <f t="shared" si="30"/>
        <v>0.0%</v>
      </c>
      <c r="AK24" s="392">
        <f t="shared" si="31"/>
        <v>0</v>
      </c>
      <c r="AL24" s="320" t="str">
        <f t="shared" si="9"/>
        <v>0.0%</v>
      </c>
      <c r="AM24" s="321" t="str">
        <f t="shared" si="10"/>
        <v>0.0%</v>
      </c>
      <c r="AN24" s="386"/>
      <c r="AO24" s="260" t="str">
        <f t="shared" si="32"/>
        <v>0.0%</v>
      </c>
      <c r="AP24" s="307" t="str">
        <f t="shared" si="33"/>
        <v>0.0%</v>
      </c>
      <c r="AQ24" s="386"/>
      <c r="AR24" s="260" t="str">
        <f t="shared" si="11"/>
        <v>0.0%</v>
      </c>
      <c r="AS24" s="307" t="str">
        <f t="shared" si="12"/>
        <v>0.0%</v>
      </c>
      <c r="AT24" s="386"/>
      <c r="AU24" s="260" t="str">
        <f t="shared" si="34"/>
        <v>0.0%</v>
      </c>
      <c r="AV24" s="307" t="str">
        <f t="shared" si="35"/>
        <v>0.0%</v>
      </c>
      <c r="AW24" s="391">
        <f t="shared" si="53"/>
        <v>0</v>
      </c>
      <c r="AX24" s="260" t="str">
        <f t="shared" si="13"/>
        <v>0.0%</v>
      </c>
      <c r="AY24" s="307" t="str">
        <f t="shared" si="14"/>
        <v>0.0%</v>
      </c>
      <c r="AZ24" s="391">
        <f t="shared" si="37"/>
        <v>0</v>
      </c>
      <c r="BA24" s="260" t="str">
        <f t="shared" si="38"/>
        <v>0.0%</v>
      </c>
      <c r="BB24" s="307" t="str">
        <f t="shared" si="39"/>
        <v>0.0%</v>
      </c>
      <c r="BC24" s="391">
        <f t="shared" si="40"/>
        <v>0</v>
      </c>
      <c r="BD24" s="260" t="str">
        <f t="shared" si="41"/>
        <v>0.0%</v>
      </c>
      <c r="BE24" s="261" t="str">
        <f t="shared" si="42"/>
        <v>0.0%</v>
      </c>
      <c r="BF24" s="391">
        <f t="shared" si="43"/>
        <v>0</v>
      </c>
      <c r="BG24" s="260" t="str">
        <f t="shared" si="44"/>
        <v>0.0%</v>
      </c>
      <c r="BH24" s="261" t="str">
        <f t="shared" si="45"/>
        <v>0.0%</v>
      </c>
      <c r="BI24" s="391">
        <f t="shared" si="46"/>
        <v>0</v>
      </c>
      <c r="BJ24" s="260" t="str">
        <f t="shared" si="47"/>
        <v>0.0%</v>
      </c>
      <c r="BK24" s="261" t="str">
        <f t="shared" si="48"/>
        <v>0.0%</v>
      </c>
      <c r="BL24" s="391">
        <f t="shared" si="49"/>
        <v>0</v>
      </c>
      <c r="BM24" s="307" t="str">
        <f t="shared" si="50"/>
        <v>0.0%</v>
      </c>
    </row>
    <row r="25" spans="1:65" s="233" customFormat="1" ht="12" x14ac:dyDescent="0.2">
      <c r="A25" s="249"/>
      <c r="B25" s="386"/>
      <c r="C25" s="387">
        <f t="shared" si="15"/>
        <v>0</v>
      </c>
      <c r="D25" s="386"/>
      <c r="E25" s="260" t="str">
        <f t="shared" si="0"/>
        <v>0.0%</v>
      </c>
      <c r="F25" s="261" t="str">
        <f t="shared" si="16"/>
        <v>0.0%</v>
      </c>
      <c r="G25" s="386"/>
      <c r="H25" s="260" t="str">
        <f t="shared" si="17"/>
        <v>0.0%</v>
      </c>
      <c r="I25" s="261" t="str">
        <f t="shared" si="18"/>
        <v>0.0%</v>
      </c>
      <c r="J25" s="386"/>
      <c r="K25" s="260" t="str">
        <f t="shared" si="1"/>
        <v>0.0%</v>
      </c>
      <c r="L25" s="261" t="str">
        <f t="shared" si="2"/>
        <v>0.0%</v>
      </c>
      <c r="M25" s="388">
        <f t="shared" si="51"/>
        <v>0</v>
      </c>
      <c r="N25" s="260" t="str">
        <f t="shared" si="20"/>
        <v>0.0%</v>
      </c>
      <c r="O25" s="307" t="str">
        <f t="shared" si="21"/>
        <v>0.0%</v>
      </c>
      <c r="P25" s="389"/>
      <c r="Q25" s="260" t="str">
        <f t="shared" si="22"/>
        <v>0.0%</v>
      </c>
      <c r="R25" s="261" t="str">
        <f t="shared" si="23"/>
        <v>0.0%</v>
      </c>
      <c r="S25" s="386"/>
      <c r="T25" s="260" t="str">
        <f t="shared" si="3"/>
        <v>0.0%</v>
      </c>
      <c r="U25" s="307" t="str">
        <f t="shared" si="4"/>
        <v>0.0%</v>
      </c>
      <c r="V25" s="390"/>
      <c r="W25" s="260" t="str">
        <f t="shared" si="24"/>
        <v>0.0%</v>
      </c>
      <c r="X25" s="261" t="str">
        <f t="shared" si="25"/>
        <v>0.0%</v>
      </c>
      <c r="Y25" s="391">
        <f t="shared" si="52"/>
        <v>0</v>
      </c>
      <c r="Z25" s="260" t="str">
        <f t="shared" si="27"/>
        <v>0.0%</v>
      </c>
      <c r="AA25" s="307" t="str">
        <f t="shared" si="28"/>
        <v>0.0%</v>
      </c>
      <c r="AB25" s="386"/>
      <c r="AC25" s="260" t="str">
        <f t="shared" si="5"/>
        <v>0.0%</v>
      </c>
      <c r="AD25" s="307" t="str">
        <f t="shared" si="6"/>
        <v>0.0%</v>
      </c>
      <c r="AE25" s="386"/>
      <c r="AF25" s="260" t="str">
        <f t="shared" si="7"/>
        <v>0.0%</v>
      </c>
      <c r="AG25" s="307" t="str">
        <f t="shared" si="8"/>
        <v>0.0%</v>
      </c>
      <c r="AH25" s="386"/>
      <c r="AI25" s="260" t="str">
        <f t="shared" si="29"/>
        <v>0.0%</v>
      </c>
      <c r="AJ25" s="307" t="str">
        <f t="shared" si="30"/>
        <v>0.0%</v>
      </c>
      <c r="AK25" s="392">
        <f t="shared" si="31"/>
        <v>0</v>
      </c>
      <c r="AL25" s="320" t="str">
        <f t="shared" si="9"/>
        <v>0.0%</v>
      </c>
      <c r="AM25" s="321" t="str">
        <f t="shared" si="10"/>
        <v>0.0%</v>
      </c>
      <c r="AN25" s="386"/>
      <c r="AO25" s="260" t="str">
        <f t="shared" si="32"/>
        <v>0.0%</v>
      </c>
      <c r="AP25" s="307" t="str">
        <f t="shared" si="33"/>
        <v>0.0%</v>
      </c>
      <c r="AQ25" s="386"/>
      <c r="AR25" s="260" t="str">
        <f t="shared" si="11"/>
        <v>0.0%</v>
      </c>
      <c r="AS25" s="307" t="str">
        <f t="shared" si="12"/>
        <v>0.0%</v>
      </c>
      <c r="AT25" s="386"/>
      <c r="AU25" s="260" t="str">
        <f t="shared" si="34"/>
        <v>0.0%</v>
      </c>
      <c r="AV25" s="307" t="str">
        <f t="shared" si="35"/>
        <v>0.0%</v>
      </c>
      <c r="AW25" s="391">
        <f t="shared" si="53"/>
        <v>0</v>
      </c>
      <c r="AX25" s="260" t="str">
        <f t="shared" si="13"/>
        <v>0.0%</v>
      </c>
      <c r="AY25" s="307" t="str">
        <f t="shared" si="14"/>
        <v>0.0%</v>
      </c>
      <c r="AZ25" s="391">
        <f t="shared" si="37"/>
        <v>0</v>
      </c>
      <c r="BA25" s="260" t="str">
        <f t="shared" si="38"/>
        <v>0.0%</v>
      </c>
      <c r="BB25" s="307" t="str">
        <f t="shared" si="39"/>
        <v>0.0%</v>
      </c>
      <c r="BC25" s="391">
        <f t="shared" si="40"/>
        <v>0</v>
      </c>
      <c r="BD25" s="260" t="str">
        <f t="shared" si="41"/>
        <v>0.0%</v>
      </c>
      <c r="BE25" s="261" t="str">
        <f t="shared" si="42"/>
        <v>0.0%</v>
      </c>
      <c r="BF25" s="391">
        <f t="shared" si="43"/>
        <v>0</v>
      </c>
      <c r="BG25" s="260" t="str">
        <f t="shared" si="44"/>
        <v>0.0%</v>
      </c>
      <c r="BH25" s="261" t="str">
        <f t="shared" si="45"/>
        <v>0.0%</v>
      </c>
      <c r="BI25" s="391">
        <f t="shared" si="46"/>
        <v>0</v>
      </c>
      <c r="BJ25" s="260" t="str">
        <f t="shared" si="47"/>
        <v>0.0%</v>
      </c>
      <c r="BK25" s="261" t="str">
        <f t="shared" si="48"/>
        <v>0.0%</v>
      </c>
      <c r="BL25" s="391">
        <f t="shared" si="49"/>
        <v>0</v>
      </c>
      <c r="BM25" s="307" t="str">
        <f t="shared" si="50"/>
        <v>0.0%</v>
      </c>
    </row>
    <row r="26" spans="1:65" s="233" customFormat="1" ht="12" x14ac:dyDescent="0.2">
      <c r="A26" s="250"/>
      <c r="B26" s="386"/>
      <c r="C26" s="387">
        <f t="shared" si="15"/>
        <v>0</v>
      </c>
      <c r="D26" s="386"/>
      <c r="E26" s="260" t="str">
        <f t="shared" si="0"/>
        <v>0.0%</v>
      </c>
      <c r="F26" s="261" t="str">
        <f t="shared" si="16"/>
        <v>0.0%</v>
      </c>
      <c r="G26" s="386"/>
      <c r="H26" s="260" t="str">
        <f t="shared" si="17"/>
        <v>0.0%</v>
      </c>
      <c r="I26" s="261" t="str">
        <f t="shared" si="18"/>
        <v>0.0%</v>
      </c>
      <c r="J26" s="386"/>
      <c r="K26" s="260" t="str">
        <f t="shared" si="1"/>
        <v>0.0%</v>
      </c>
      <c r="L26" s="261" t="str">
        <f t="shared" si="2"/>
        <v>0.0%</v>
      </c>
      <c r="M26" s="388">
        <f t="shared" si="51"/>
        <v>0</v>
      </c>
      <c r="N26" s="260" t="str">
        <f t="shared" si="20"/>
        <v>0.0%</v>
      </c>
      <c r="O26" s="307" t="str">
        <f t="shared" si="21"/>
        <v>0.0%</v>
      </c>
      <c r="P26" s="389"/>
      <c r="Q26" s="260" t="str">
        <f t="shared" si="22"/>
        <v>0.0%</v>
      </c>
      <c r="R26" s="261" t="str">
        <f t="shared" si="23"/>
        <v>0.0%</v>
      </c>
      <c r="S26" s="386"/>
      <c r="T26" s="260" t="str">
        <f t="shared" si="3"/>
        <v>0.0%</v>
      </c>
      <c r="U26" s="307" t="str">
        <f t="shared" si="4"/>
        <v>0.0%</v>
      </c>
      <c r="V26" s="390"/>
      <c r="W26" s="260" t="str">
        <f t="shared" si="24"/>
        <v>0.0%</v>
      </c>
      <c r="X26" s="261" t="str">
        <f t="shared" si="25"/>
        <v>0.0%</v>
      </c>
      <c r="Y26" s="391">
        <f t="shared" si="52"/>
        <v>0</v>
      </c>
      <c r="Z26" s="260" t="str">
        <f t="shared" si="27"/>
        <v>0.0%</v>
      </c>
      <c r="AA26" s="307" t="str">
        <f t="shared" si="28"/>
        <v>0.0%</v>
      </c>
      <c r="AB26" s="386"/>
      <c r="AC26" s="260" t="str">
        <f t="shared" si="5"/>
        <v>0.0%</v>
      </c>
      <c r="AD26" s="307" t="str">
        <f t="shared" si="6"/>
        <v>0.0%</v>
      </c>
      <c r="AE26" s="386"/>
      <c r="AF26" s="260" t="str">
        <f t="shared" si="7"/>
        <v>0.0%</v>
      </c>
      <c r="AG26" s="307" t="str">
        <f t="shared" si="8"/>
        <v>0.0%</v>
      </c>
      <c r="AH26" s="386"/>
      <c r="AI26" s="260" t="str">
        <f t="shared" si="29"/>
        <v>0.0%</v>
      </c>
      <c r="AJ26" s="307" t="str">
        <f t="shared" si="30"/>
        <v>0.0%</v>
      </c>
      <c r="AK26" s="392">
        <f t="shared" si="31"/>
        <v>0</v>
      </c>
      <c r="AL26" s="320" t="str">
        <f t="shared" si="9"/>
        <v>0.0%</v>
      </c>
      <c r="AM26" s="321" t="str">
        <f t="shared" si="10"/>
        <v>0.0%</v>
      </c>
      <c r="AN26" s="386"/>
      <c r="AO26" s="260" t="str">
        <f t="shared" si="32"/>
        <v>0.0%</v>
      </c>
      <c r="AP26" s="307" t="str">
        <f t="shared" si="33"/>
        <v>0.0%</v>
      </c>
      <c r="AQ26" s="386"/>
      <c r="AR26" s="260" t="str">
        <f t="shared" si="11"/>
        <v>0.0%</v>
      </c>
      <c r="AS26" s="307" t="str">
        <f t="shared" si="12"/>
        <v>0.0%</v>
      </c>
      <c r="AT26" s="386"/>
      <c r="AU26" s="260" t="str">
        <f t="shared" si="34"/>
        <v>0.0%</v>
      </c>
      <c r="AV26" s="307" t="str">
        <f t="shared" si="35"/>
        <v>0.0%</v>
      </c>
      <c r="AW26" s="391">
        <f t="shared" si="53"/>
        <v>0</v>
      </c>
      <c r="AX26" s="260" t="str">
        <f t="shared" si="13"/>
        <v>0.0%</v>
      </c>
      <c r="AY26" s="307" t="str">
        <f t="shared" si="14"/>
        <v>0.0%</v>
      </c>
      <c r="AZ26" s="391">
        <f t="shared" si="37"/>
        <v>0</v>
      </c>
      <c r="BA26" s="260" t="str">
        <f t="shared" si="38"/>
        <v>0.0%</v>
      </c>
      <c r="BB26" s="307" t="str">
        <f t="shared" si="39"/>
        <v>0.0%</v>
      </c>
      <c r="BC26" s="391">
        <f t="shared" si="40"/>
        <v>0</v>
      </c>
      <c r="BD26" s="260" t="str">
        <f t="shared" si="41"/>
        <v>0.0%</v>
      </c>
      <c r="BE26" s="261" t="str">
        <f t="shared" si="42"/>
        <v>0.0%</v>
      </c>
      <c r="BF26" s="391">
        <f t="shared" si="43"/>
        <v>0</v>
      </c>
      <c r="BG26" s="260" t="str">
        <f t="shared" si="44"/>
        <v>0.0%</v>
      </c>
      <c r="BH26" s="261" t="str">
        <f t="shared" si="45"/>
        <v>0.0%</v>
      </c>
      <c r="BI26" s="391">
        <f t="shared" si="46"/>
        <v>0</v>
      </c>
      <c r="BJ26" s="260" t="str">
        <f t="shared" si="47"/>
        <v>0.0%</v>
      </c>
      <c r="BK26" s="261" t="str">
        <f t="shared" si="48"/>
        <v>0.0%</v>
      </c>
      <c r="BL26" s="391">
        <f t="shared" si="49"/>
        <v>0</v>
      </c>
      <c r="BM26" s="307" t="str">
        <f t="shared" si="50"/>
        <v>0.0%</v>
      </c>
    </row>
    <row r="27" spans="1:65" s="233" customFormat="1" ht="12" x14ac:dyDescent="0.2">
      <c r="A27" s="249"/>
      <c r="B27" s="386"/>
      <c r="C27" s="387">
        <f t="shared" si="15"/>
        <v>0</v>
      </c>
      <c r="D27" s="386"/>
      <c r="E27" s="260" t="str">
        <f t="shared" si="0"/>
        <v>0.0%</v>
      </c>
      <c r="F27" s="261" t="str">
        <f t="shared" si="16"/>
        <v>0.0%</v>
      </c>
      <c r="G27" s="386"/>
      <c r="H27" s="260" t="str">
        <f t="shared" si="17"/>
        <v>0.0%</v>
      </c>
      <c r="I27" s="261" t="str">
        <f t="shared" si="18"/>
        <v>0.0%</v>
      </c>
      <c r="J27" s="386"/>
      <c r="K27" s="260" t="str">
        <f t="shared" si="1"/>
        <v>0.0%</v>
      </c>
      <c r="L27" s="261" t="str">
        <f t="shared" si="2"/>
        <v>0.0%</v>
      </c>
      <c r="M27" s="388">
        <f t="shared" si="51"/>
        <v>0</v>
      </c>
      <c r="N27" s="260" t="str">
        <f t="shared" si="20"/>
        <v>0.0%</v>
      </c>
      <c r="O27" s="307" t="str">
        <f t="shared" si="21"/>
        <v>0.0%</v>
      </c>
      <c r="P27" s="389"/>
      <c r="Q27" s="260" t="str">
        <f t="shared" si="22"/>
        <v>0.0%</v>
      </c>
      <c r="R27" s="261" t="str">
        <f t="shared" si="23"/>
        <v>0.0%</v>
      </c>
      <c r="S27" s="386"/>
      <c r="T27" s="260" t="str">
        <f t="shared" si="3"/>
        <v>0.0%</v>
      </c>
      <c r="U27" s="307" t="str">
        <f t="shared" si="4"/>
        <v>0.0%</v>
      </c>
      <c r="V27" s="390"/>
      <c r="W27" s="260" t="str">
        <f t="shared" si="24"/>
        <v>0.0%</v>
      </c>
      <c r="X27" s="261" t="str">
        <f t="shared" si="25"/>
        <v>0.0%</v>
      </c>
      <c r="Y27" s="391">
        <f t="shared" si="52"/>
        <v>0</v>
      </c>
      <c r="Z27" s="260" t="str">
        <f t="shared" si="27"/>
        <v>0.0%</v>
      </c>
      <c r="AA27" s="307" t="str">
        <f t="shared" si="28"/>
        <v>0.0%</v>
      </c>
      <c r="AB27" s="386"/>
      <c r="AC27" s="260" t="str">
        <f t="shared" si="5"/>
        <v>0.0%</v>
      </c>
      <c r="AD27" s="307" t="str">
        <f t="shared" si="6"/>
        <v>0.0%</v>
      </c>
      <c r="AE27" s="386"/>
      <c r="AF27" s="260" t="str">
        <f t="shared" si="7"/>
        <v>0.0%</v>
      </c>
      <c r="AG27" s="307" t="str">
        <f t="shared" si="8"/>
        <v>0.0%</v>
      </c>
      <c r="AH27" s="386"/>
      <c r="AI27" s="260" t="str">
        <f t="shared" si="29"/>
        <v>0.0%</v>
      </c>
      <c r="AJ27" s="307" t="str">
        <f t="shared" si="30"/>
        <v>0.0%</v>
      </c>
      <c r="AK27" s="392">
        <f t="shared" si="31"/>
        <v>0</v>
      </c>
      <c r="AL27" s="320" t="str">
        <f t="shared" si="9"/>
        <v>0.0%</v>
      </c>
      <c r="AM27" s="321" t="str">
        <f t="shared" si="10"/>
        <v>0.0%</v>
      </c>
      <c r="AN27" s="386"/>
      <c r="AO27" s="260" t="str">
        <f t="shared" si="32"/>
        <v>0.0%</v>
      </c>
      <c r="AP27" s="307" t="str">
        <f t="shared" si="33"/>
        <v>0.0%</v>
      </c>
      <c r="AQ27" s="386"/>
      <c r="AR27" s="260" t="str">
        <f t="shared" si="11"/>
        <v>0.0%</v>
      </c>
      <c r="AS27" s="307" t="str">
        <f t="shared" si="12"/>
        <v>0.0%</v>
      </c>
      <c r="AT27" s="386"/>
      <c r="AU27" s="260" t="str">
        <f t="shared" si="34"/>
        <v>0.0%</v>
      </c>
      <c r="AV27" s="307" t="str">
        <f t="shared" si="35"/>
        <v>0.0%</v>
      </c>
      <c r="AW27" s="391">
        <f t="shared" si="53"/>
        <v>0</v>
      </c>
      <c r="AX27" s="260" t="str">
        <f t="shared" si="13"/>
        <v>0.0%</v>
      </c>
      <c r="AY27" s="307" t="str">
        <f t="shared" si="14"/>
        <v>0.0%</v>
      </c>
      <c r="AZ27" s="391">
        <f t="shared" si="37"/>
        <v>0</v>
      </c>
      <c r="BA27" s="260" t="str">
        <f t="shared" si="38"/>
        <v>0.0%</v>
      </c>
      <c r="BB27" s="307" t="str">
        <f t="shared" si="39"/>
        <v>0.0%</v>
      </c>
      <c r="BC27" s="391">
        <f t="shared" si="40"/>
        <v>0</v>
      </c>
      <c r="BD27" s="260" t="str">
        <f t="shared" si="41"/>
        <v>0.0%</v>
      </c>
      <c r="BE27" s="261" t="str">
        <f t="shared" si="42"/>
        <v>0.0%</v>
      </c>
      <c r="BF27" s="391">
        <f t="shared" si="43"/>
        <v>0</v>
      </c>
      <c r="BG27" s="260" t="str">
        <f t="shared" si="44"/>
        <v>0.0%</v>
      </c>
      <c r="BH27" s="261" t="str">
        <f t="shared" si="45"/>
        <v>0.0%</v>
      </c>
      <c r="BI27" s="391">
        <f t="shared" si="46"/>
        <v>0</v>
      </c>
      <c r="BJ27" s="260" t="str">
        <f t="shared" si="47"/>
        <v>0.0%</v>
      </c>
      <c r="BK27" s="261" t="str">
        <f t="shared" si="48"/>
        <v>0.0%</v>
      </c>
      <c r="BL27" s="391">
        <f t="shared" si="49"/>
        <v>0</v>
      </c>
      <c r="BM27" s="307" t="str">
        <f t="shared" si="50"/>
        <v>0.0%</v>
      </c>
    </row>
    <row r="28" spans="1:65" s="233" customFormat="1" ht="12" x14ac:dyDescent="0.2">
      <c r="A28" s="249"/>
      <c r="B28" s="386"/>
      <c r="C28" s="387">
        <f t="shared" si="15"/>
        <v>0</v>
      </c>
      <c r="D28" s="386"/>
      <c r="E28" s="260" t="str">
        <f t="shared" si="0"/>
        <v>0.0%</v>
      </c>
      <c r="F28" s="261" t="str">
        <f t="shared" si="16"/>
        <v>0.0%</v>
      </c>
      <c r="G28" s="386"/>
      <c r="H28" s="260" t="str">
        <f t="shared" si="17"/>
        <v>0.0%</v>
      </c>
      <c r="I28" s="261" t="str">
        <f t="shared" si="18"/>
        <v>0.0%</v>
      </c>
      <c r="J28" s="386"/>
      <c r="K28" s="260" t="str">
        <f t="shared" si="1"/>
        <v>0.0%</v>
      </c>
      <c r="L28" s="261" t="str">
        <f t="shared" si="2"/>
        <v>0.0%</v>
      </c>
      <c r="M28" s="388">
        <f t="shared" si="51"/>
        <v>0</v>
      </c>
      <c r="N28" s="260" t="str">
        <f t="shared" si="20"/>
        <v>0.0%</v>
      </c>
      <c r="O28" s="307" t="str">
        <f t="shared" si="21"/>
        <v>0.0%</v>
      </c>
      <c r="P28" s="389"/>
      <c r="Q28" s="260" t="str">
        <f t="shared" si="22"/>
        <v>0.0%</v>
      </c>
      <c r="R28" s="261" t="str">
        <f t="shared" si="23"/>
        <v>0.0%</v>
      </c>
      <c r="S28" s="386"/>
      <c r="T28" s="260" t="str">
        <f t="shared" si="3"/>
        <v>0.0%</v>
      </c>
      <c r="U28" s="307" t="str">
        <f t="shared" si="4"/>
        <v>0.0%</v>
      </c>
      <c r="V28" s="390"/>
      <c r="W28" s="260" t="str">
        <f t="shared" si="24"/>
        <v>0.0%</v>
      </c>
      <c r="X28" s="261" t="str">
        <f t="shared" si="25"/>
        <v>0.0%</v>
      </c>
      <c r="Y28" s="391">
        <f t="shared" si="52"/>
        <v>0</v>
      </c>
      <c r="Z28" s="260" t="str">
        <f t="shared" si="27"/>
        <v>0.0%</v>
      </c>
      <c r="AA28" s="307" t="str">
        <f t="shared" si="28"/>
        <v>0.0%</v>
      </c>
      <c r="AB28" s="386"/>
      <c r="AC28" s="260" t="str">
        <f t="shared" si="5"/>
        <v>0.0%</v>
      </c>
      <c r="AD28" s="307" t="str">
        <f t="shared" si="6"/>
        <v>0.0%</v>
      </c>
      <c r="AE28" s="386"/>
      <c r="AF28" s="260" t="str">
        <f t="shared" si="7"/>
        <v>0.0%</v>
      </c>
      <c r="AG28" s="307" t="str">
        <f t="shared" si="8"/>
        <v>0.0%</v>
      </c>
      <c r="AH28" s="386"/>
      <c r="AI28" s="260" t="str">
        <f t="shared" si="29"/>
        <v>0.0%</v>
      </c>
      <c r="AJ28" s="307" t="str">
        <f t="shared" si="30"/>
        <v>0.0%</v>
      </c>
      <c r="AK28" s="392">
        <f t="shared" si="31"/>
        <v>0</v>
      </c>
      <c r="AL28" s="320" t="str">
        <f t="shared" si="9"/>
        <v>0.0%</v>
      </c>
      <c r="AM28" s="321" t="str">
        <f t="shared" si="10"/>
        <v>0.0%</v>
      </c>
      <c r="AN28" s="386"/>
      <c r="AO28" s="260" t="str">
        <f t="shared" si="32"/>
        <v>0.0%</v>
      </c>
      <c r="AP28" s="307" t="str">
        <f t="shared" si="33"/>
        <v>0.0%</v>
      </c>
      <c r="AQ28" s="386"/>
      <c r="AR28" s="260" t="str">
        <f t="shared" si="11"/>
        <v>0.0%</v>
      </c>
      <c r="AS28" s="307" t="str">
        <f t="shared" si="12"/>
        <v>0.0%</v>
      </c>
      <c r="AT28" s="386"/>
      <c r="AU28" s="260" t="str">
        <f t="shared" si="34"/>
        <v>0.0%</v>
      </c>
      <c r="AV28" s="307" t="str">
        <f t="shared" si="35"/>
        <v>0.0%</v>
      </c>
      <c r="AW28" s="391">
        <f t="shared" si="53"/>
        <v>0</v>
      </c>
      <c r="AX28" s="260" t="str">
        <f t="shared" si="13"/>
        <v>0.0%</v>
      </c>
      <c r="AY28" s="307" t="str">
        <f t="shared" si="14"/>
        <v>0.0%</v>
      </c>
      <c r="AZ28" s="391">
        <f t="shared" si="37"/>
        <v>0</v>
      </c>
      <c r="BA28" s="260" t="str">
        <f t="shared" si="38"/>
        <v>0.0%</v>
      </c>
      <c r="BB28" s="307" t="str">
        <f t="shared" si="39"/>
        <v>0.0%</v>
      </c>
      <c r="BC28" s="391">
        <f t="shared" si="40"/>
        <v>0</v>
      </c>
      <c r="BD28" s="260" t="str">
        <f t="shared" si="41"/>
        <v>0.0%</v>
      </c>
      <c r="BE28" s="261" t="str">
        <f t="shared" si="42"/>
        <v>0.0%</v>
      </c>
      <c r="BF28" s="391">
        <f t="shared" si="43"/>
        <v>0</v>
      </c>
      <c r="BG28" s="260" t="str">
        <f t="shared" si="44"/>
        <v>0.0%</v>
      </c>
      <c r="BH28" s="261" t="str">
        <f t="shared" si="45"/>
        <v>0.0%</v>
      </c>
      <c r="BI28" s="391">
        <f t="shared" si="46"/>
        <v>0</v>
      </c>
      <c r="BJ28" s="260" t="str">
        <f t="shared" si="47"/>
        <v>0.0%</v>
      </c>
      <c r="BK28" s="261" t="str">
        <f t="shared" si="48"/>
        <v>0.0%</v>
      </c>
      <c r="BL28" s="391">
        <f t="shared" si="49"/>
        <v>0</v>
      </c>
      <c r="BM28" s="307" t="str">
        <f t="shared" si="50"/>
        <v>0.0%</v>
      </c>
    </row>
    <row r="29" spans="1:65" s="233" customFormat="1" thickBot="1" x14ac:dyDescent="0.25">
      <c r="A29" s="251"/>
      <c r="B29" s="393"/>
      <c r="C29" s="394">
        <f t="shared" si="15"/>
        <v>0</v>
      </c>
      <c r="D29" s="393"/>
      <c r="E29" s="262" t="str">
        <f>IFERROR(ROUND((D29-C29)/C29,3),"0.0%")</f>
        <v>0.0%</v>
      </c>
      <c r="F29" s="263" t="str">
        <f t="shared" si="16"/>
        <v>0.0%</v>
      </c>
      <c r="G29" s="393"/>
      <c r="H29" s="262" t="str">
        <f t="shared" si="17"/>
        <v>0.0%</v>
      </c>
      <c r="I29" s="263" t="str">
        <f t="shared" si="18"/>
        <v>0.0%</v>
      </c>
      <c r="J29" s="393"/>
      <c r="K29" s="262" t="str">
        <f>IFERROR(ROUND((J29-C29)/C29,3),"0.0%")</f>
        <v>0.0%</v>
      </c>
      <c r="L29" s="263" t="str">
        <f>IFERROR(ROUND(((J29+G29+D29)-(C29*3))/(C29*3),3),"0.0%")</f>
        <v>0.0%</v>
      </c>
      <c r="M29" s="395">
        <f t="shared" si="51"/>
        <v>0</v>
      </c>
      <c r="N29" s="262" t="str">
        <f t="shared" si="20"/>
        <v>0.0%</v>
      </c>
      <c r="O29" s="313" t="str">
        <f t="shared" si="21"/>
        <v>0.0%</v>
      </c>
      <c r="P29" s="396"/>
      <c r="Q29" s="262" t="str">
        <f t="shared" si="22"/>
        <v>0.0%</v>
      </c>
      <c r="R29" s="263" t="str">
        <f t="shared" si="23"/>
        <v>0.0%</v>
      </c>
      <c r="S29" s="397"/>
      <c r="T29" s="308" t="str">
        <f>IFERROR(ROUND((S29-C29)/C29,3),"0.0%")</f>
        <v>0.0%</v>
      </c>
      <c r="U29" s="309" t="str">
        <f>IFERROR(ROUND(((S29+P29+M29)-(C29*5))/(C29*5),3),"0.0%")</f>
        <v>0.0%</v>
      </c>
      <c r="V29" s="398"/>
      <c r="W29" s="308" t="str">
        <f t="shared" si="24"/>
        <v>0.0%</v>
      </c>
      <c r="X29" s="310" t="str">
        <f t="shared" si="25"/>
        <v>0.0%</v>
      </c>
      <c r="Y29" s="399">
        <f t="shared" si="52"/>
        <v>0</v>
      </c>
      <c r="Z29" s="262" t="str">
        <f t="shared" si="27"/>
        <v>0.0%</v>
      </c>
      <c r="AA29" s="313" t="str">
        <f t="shared" si="28"/>
        <v>0.0%</v>
      </c>
      <c r="AB29" s="393"/>
      <c r="AC29" s="262" t="str">
        <f>IFERROR(ROUND((AB29-C29)/C29,3),"0.0%")</f>
        <v>0.0%</v>
      </c>
      <c r="AD29" s="313" t="str">
        <f>IFERROR(ROUND(((AB29+Y29+M29)-(C29*7))/(C29*7),3),"0.0%")</f>
        <v>0.0%</v>
      </c>
      <c r="AE29" s="393"/>
      <c r="AF29" s="262" t="str">
        <f>IFERROR(ROUND((AE29-C29)/C29,3),"0.0%")</f>
        <v>0.0%</v>
      </c>
      <c r="AG29" s="313" t="str">
        <f>IFERROR(ROUND(((AE29+AB29+Y29+M29)-(C29*8))/(C29*8),3),"0.0%")</f>
        <v>0.0%</v>
      </c>
      <c r="AH29" s="393"/>
      <c r="AI29" s="262" t="str">
        <f t="shared" si="29"/>
        <v>0.0%</v>
      </c>
      <c r="AJ29" s="313" t="str">
        <f t="shared" si="30"/>
        <v>0.0%</v>
      </c>
      <c r="AK29" s="400">
        <f t="shared" si="31"/>
        <v>0</v>
      </c>
      <c r="AL29" s="322" t="str">
        <f>IFERROR(ROUND((AK29-(C29*3))/(C29*3),3),"0.0%")</f>
        <v>0.0%</v>
      </c>
      <c r="AM29" s="323" t="str">
        <f>IFERROR(ROUND(((AK29+Y29+M29)-(C29*9))/(C29*9),3),"0.0%")</f>
        <v>0.0%</v>
      </c>
      <c r="AN29" s="393"/>
      <c r="AO29" s="262" t="str">
        <f t="shared" si="32"/>
        <v>0.0%</v>
      </c>
      <c r="AP29" s="313" t="str">
        <f t="shared" si="33"/>
        <v>0.0%</v>
      </c>
      <c r="AQ29" s="393"/>
      <c r="AR29" s="262" t="str">
        <f>IFERROR(ROUND((AQ29-C29)/C29,3),"0.0%")</f>
        <v>0.0%</v>
      </c>
      <c r="AS29" s="313" t="str">
        <f>IFERROR(ROUND(((AQ29+AN29+AK29+Y29+M29)-(C29*11))/(C29*11),3),"0.0%")</f>
        <v>0.0%</v>
      </c>
      <c r="AT29" s="393"/>
      <c r="AU29" s="262" t="str">
        <f t="shared" si="34"/>
        <v>0.0%</v>
      </c>
      <c r="AV29" s="313" t="str">
        <f t="shared" si="35"/>
        <v>0.0%</v>
      </c>
      <c r="AW29" s="399">
        <f t="shared" si="53"/>
        <v>0</v>
      </c>
      <c r="AX29" s="262" t="str">
        <f>IFERROR(ROUND((AW29-(C29*3))/(C29*3),3),"0.0%")</f>
        <v>0.0%</v>
      </c>
      <c r="AY29" s="313" t="str">
        <f>IFERROR(ROUND(((AW29+AK29+Y29+M29)-(C29*12))/(C29*12),3),"0.0%")</f>
        <v>0.0%</v>
      </c>
      <c r="AZ29" s="399">
        <f t="shared" si="37"/>
        <v>0</v>
      </c>
      <c r="BA29" s="262" t="str">
        <f t="shared" si="38"/>
        <v>0.0%</v>
      </c>
      <c r="BB29" s="313" t="str">
        <f t="shared" si="39"/>
        <v>0.0%</v>
      </c>
      <c r="BC29" s="399">
        <f t="shared" si="40"/>
        <v>0</v>
      </c>
      <c r="BD29" s="262" t="str">
        <f t="shared" si="41"/>
        <v>0.0%</v>
      </c>
      <c r="BE29" s="263" t="str">
        <f t="shared" si="42"/>
        <v>0.0%</v>
      </c>
      <c r="BF29" s="399">
        <f t="shared" si="43"/>
        <v>0</v>
      </c>
      <c r="BG29" s="262" t="str">
        <f t="shared" si="44"/>
        <v>0.0%</v>
      </c>
      <c r="BH29" s="263" t="str">
        <f t="shared" si="45"/>
        <v>0.0%</v>
      </c>
      <c r="BI29" s="399">
        <f t="shared" si="46"/>
        <v>0</v>
      </c>
      <c r="BJ29" s="262" t="str">
        <f t="shared" si="47"/>
        <v>0.0%</v>
      </c>
      <c r="BK29" s="263" t="str">
        <f t="shared" si="48"/>
        <v>0.0%</v>
      </c>
      <c r="BL29" s="399">
        <f t="shared" si="49"/>
        <v>0</v>
      </c>
      <c r="BM29" s="313" t="str">
        <f t="shared" si="50"/>
        <v>0.0%</v>
      </c>
    </row>
    <row r="30" spans="1:65" s="233" customFormat="1" ht="12" x14ac:dyDescent="0.2">
      <c r="A30" s="250"/>
      <c r="B30" s="401"/>
      <c r="C30" s="402"/>
      <c r="D30" s="401"/>
      <c r="E30" s="270"/>
      <c r="F30" s="265"/>
      <c r="G30" s="403"/>
      <c r="H30" s="270"/>
      <c r="I30" s="265"/>
      <c r="J30" s="403"/>
      <c r="K30" s="270"/>
      <c r="L30" s="265"/>
      <c r="M30" s="403"/>
      <c r="N30" s="270"/>
      <c r="O30" s="265"/>
      <c r="P30" s="403"/>
      <c r="Q30" s="270"/>
      <c r="R30" s="265"/>
      <c r="S30" s="403"/>
      <c r="T30" s="270"/>
      <c r="U30" s="265"/>
      <c r="V30" s="403"/>
      <c r="W30" s="270"/>
      <c r="X30" s="265"/>
      <c r="Y30" s="403"/>
      <c r="Z30" s="270"/>
      <c r="AA30" s="265"/>
      <c r="AB30" s="403"/>
      <c r="AC30" s="270"/>
      <c r="AD30" s="265"/>
      <c r="AE30" s="403"/>
      <c r="AF30" s="270"/>
      <c r="AG30" s="265"/>
      <c r="AH30" s="403"/>
      <c r="AI30" s="270"/>
      <c r="AJ30" s="265"/>
      <c r="AK30" s="403"/>
      <c r="AL30" s="270"/>
      <c r="AM30" s="265"/>
      <c r="AN30" s="403"/>
      <c r="AO30" s="270"/>
      <c r="AP30" s="265"/>
      <c r="AQ30" s="403"/>
      <c r="AR30" s="270"/>
      <c r="AS30" s="265"/>
      <c r="AT30" s="403"/>
      <c r="AU30" s="270"/>
      <c r="AV30" s="265"/>
      <c r="AW30" s="403"/>
      <c r="AX30" s="270"/>
      <c r="AY30" s="265"/>
      <c r="AZ30" s="403"/>
      <c r="BA30" s="270"/>
      <c r="BB30" s="265"/>
      <c r="BC30" s="403"/>
      <c r="BD30" s="270"/>
      <c r="BE30" s="265"/>
      <c r="BF30" s="403"/>
      <c r="BG30" s="270"/>
      <c r="BH30" s="265"/>
      <c r="BI30" s="403"/>
      <c r="BJ30" s="270"/>
      <c r="BK30" s="265"/>
      <c r="BL30" s="403"/>
      <c r="BM30" s="466"/>
    </row>
    <row r="31" spans="1:65" s="233" customFormat="1" ht="12" x14ac:dyDescent="0.2">
      <c r="A31" s="250" t="s">
        <v>86</v>
      </c>
      <c r="B31" s="404">
        <f>SUM(B6:B29)</f>
        <v>0</v>
      </c>
      <c r="C31" s="405">
        <f t="shared" si="15"/>
        <v>0</v>
      </c>
      <c r="D31" s="404">
        <f>SUM(D6:D29)</f>
        <v>0</v>
      </c>
      <c r="E31" s="271" t="str">
        <f>IFERROR(ROUND((D31-C31)/C31,3),"0.0%")</f>
        <v>0.0%</v>
      </c>
      <c r="F31" s="315" t="str">
        <f>IFERROR(ROUND((D31-C31)/C31,3),"0.0%")</f>
        <v>0.0%</v>
      </c>
      <c r="G31" s="404">
        <f>SUM(G6:G29)</f>
        <v>0</v>
      </c>
      <c r="H31" s="271" t="str">
        <f>IFERROR(ROUND((G31-C31)/C31,3),"0.0%")</f>
        <v>0.0%</v>
      </c>
      <c r="I31" s="315" t="str">
        <f>IFERROR(ROUND(((G31+D31)-(C31*2))/(C31*2),3),"0.0%")</f>
        <v>0.0%</v>
      </c>
      <c r="J31" s="404">
        <f>SUM(J6:J29)</f>
        <v>0</v>
      </c>
      <c r="K31" s="271" t="str">
        <f>IFERROR(ROUND((J31-C31)/C31,3),"0.0%")</f>
        <v>0.0%</v>
      </c>
      <c r="L31" s="315" t="str">
        <f>IFERROR(ROUND(((J31+G31+D31)-(C31*3))/(C31*3),3),"0.0%")</f>
        <v>0.0%</v>
      </c>
      <c r="M31" s="404">
        <f>SUM(M6:M29)</f>
        <v>0</v>
      </c>
      <c r="N31" s="271" t="str">
        <f>IFERROR(ROUND((M31-(C31*3))/(C31*3),3),"0.0%")</f>
        <v>0.0%</v>
      </c>
      <c r="O31" s="315" t="str">
        <f t="shared" si="21"/>
        <v>0.0%</v>
      </c>
      <c r="P31" s="404">
        <f>SUM(P6:P29)</f>
        <v>0</v>
      </c>
      <c r="Q31" s="271" t="str">
        <f>IFERROR(ROUND((P31-C31)/C31,3),"0.0%")</f>
        <v>0.0%</v>
      </c>
      <c r="R31" s="315" t="str">
        <f t="shared" si="23"/>
        <v>0.0%</v>
      </c>
      <c r="S31" s="404">
        <f>SUM(S6:S29)</f>
        <v>0</v>
      </c>
      <c r="T31" s="271" t="str">
        <f>IFERROR(ROUND((S31-C31)/C31,3),"0.0%")</f>
        <v>0.0%</v>
      </c>
      <c r="U31" s="315" t="str">
        <f>IFERROR(ROUND(((S31+P31+M31)-(C31*5))/(C31*5),3),"0.0%")</f>
        <v>0.0%</v>
      </c>
      <c r="V31" s="404">
        <f>SUM(V6:V29)</f>
        <v>0</v>
      </c>
      <c r="W31" s="271" t="str">
        <f t="shared" si="24"/>
        <v>0.0%</v>
      </c>
      <c r="X31" s="315" t="str">
        <f t="shared" si="25"/>
        <v>0.0%</v>
      </c>
      <c r="Y31" s="404">
        <f>SUM(Y6:Y29)</f>
        <v>0</v>
      </c>
      <c r="Z31" s="271" t="str">
        <f>IFERROR(ROUND((Y31-(C31*3))/(C31*3),3),"0.0%")</f>
        <v>0.0%</v>
      </c>
      <c r="AA31" s="315" t="str">
        <f>IFERROR(ROUND(((Y31+M31)-(C31*6))/(C31*6),3),"0.0%")</f>
        <v>0.0%</v>
      </c>
      <c r="AB31" s="404">
        <f>SUM(AB6:AB29)</f>
        <v>0</v>
      </c>
      <c r="AC31" s="271" t="str">
        <f>IFERROR(ROUND((AB31-C31)/C31,3),"0.0%")</f>
        <v>0.0%</v>
      </c>
      <c r="AD31" s="315" t="str">
        <f>IFERROR(ROUND(((AB31+Y31+M31)-(C31*7))/(C31*7),3),"0.0%")</f>
        <v>0.0%</v>
      </c>
      <c r="AE31" s="404">
        <f>SUM(AE6:AE29)</f>
        <v>0</v>
      </c>
      <c r="AF31" s="271" t="str">
        <f>IFERROR(ROUND((AE31-C31)/C31,3),"0.0%")</f>
        <v>0.0%</v>
      </c>
      <c r="AG31" s="315" t="str">
        <f>IFERROR(ROUND(((AE31+AB31+Y31+M31)-(C31*8))/(C31*8),3),"0.0%")</f>
        <v>0.0%</v>
      </c>
      <c r="AH31" s="404">
        <f>SUM(AH6:AH29)</f>
        <v>0</v>
      </c>
      <c r="AI31" s="271" t="str">
        <f t="shared" si="29"/>
        <v>0.0%</v>
      </c>
      <c r="AJ31" s="315" t="str">
        <f t="shared" si="30"/>
        <v>0.0%</v>
      </c>
      <c r="AK31" s="404">
        <f>SUM(AK6:AK29)</f>
        <v>0</v>
      </c>
      <c r="AL31" s="271" t="str">
        <f>IFERROR(ROUND((AK31-(C31*3))/(C31*3),3),"0.0%")</f>
        <v>0.0%</v>
      </c>
      <c r="AM31" s="315" t="str">
        <f>IFERROR(ROUND(((AK31+Y31+M31)-(C31*9))/(C31*9),3),"0.0%")</f>
        <v>0.0%</v>
      </c>
      <c r="AN31" s="404">
        <f>SUM(AN6:AN29)</f>
        <v>0</v>
      </c>
      <c r="AO31" s="271" t="str">
        <f t="shared" si="32"/>
        <v>0.0%</v>
      </c>
      <c r="AP31" s="315" t="str">
        <f t="shared" si="33"/>
        <v>0.0%</v>
      </c>
      <c r="AQ31" s="404">
        <f>SUM(AQ6:AQ29)</f>
        <v>0</v>
      </c>
      <c r="AR31" s="271" t="str">
        <f>IFERROR(ROUND((AQ31-C31)/C31,3),"0.0%")</f>
        <v>0.0%</v>
      </c>
      <c r="AS31" s="315" t="str">
        <f>IFERROR(ROUND(((AQ31+AN31+AK31+Y31+M31)-(C31*11))/(C31*11),3),"0.0%")</f>
        <v>0.0%</v>
      </c>
      <c r="AT31" s="404">
        <f>SUM(AT6:AT29)</f>
        <v>0</v>
      </c>
      <c r="AU31" s="271" t="str">
        <f t="shared" si="34"/>
        <v>0.0%</v>
      </c>
      <c r="AV31" s="315" t="str">
        <f t="shared" si="35"/>
        <v>0.0%</v>
      </c>
      <c r="AW31" s="404">
        <f>SUM(AW6:AW29)</f>
        <v>0</v>
      </c>
      <c r="AX31" s="271" t="str">
        <f>IFERROR(ROUND((AW31-(C31*3))/(C31*3),3),"0.0%")</f>
        <v>0.0%</v>
      </c>
      <c r="AY31" s="315" t="str">
        <f>IFERROR(ROUND(((AW31+AK31+Y31+M31)-(C31*12))/(C31*12),3),"0.0%")</f>
        <v>0.0%</v>
      </c>
      <c r="AZ31" s="404">
        <f>M31</f>
        <v>0</v>
      </c>
      <c r="BA31" s="271" t="str">
        <f>N31</f>
        <v>0.0%</v>
      </c>
      <c r="BB31" s="315" t="str">
        <f>O31</f>
        <v>0.0%</v>
      </c>
      <c r="BC31" s="404">
        <f>Y31</f>
        <v>0</v>
      </c>
      <c r="BD31" s="271" t="str">
        <f>Z31</f>
        <v>0.0%</v>
      </c>
      <c r="BE31" s="315" t="str">
        <f>AA31</f>
        <v>0.0%</v>
      </c>
      <c r="BF31" s="404">
        <f>AK31</f>
        <v>0</v>
      </c>
      <c r="BG31" s="271" t="str">
        <f>AL31</f>
        <v>0.0%</v>
      </c>
      <c r="BH31" s="315" t="str">
        <f>AM31</f>
        <v>0.0%</v>
      </c>
      <c r="BI31" s="404">
        <f>AW31</f>
        <v>0</v>
      </c>
      <c r="BJ31" s="271" t="str">
        <f>AX31</f>
        <v>0.0%</v>
      </c>
      <c r="BK31" s="315" t="str">
        <f>AY31</f>
        <v>0.0%</v>
      </c>
      <c r="BL31" s="406">
        <f>ROUND(AZ31+BC31+BF31+BI31,0)</f>
        <v>0</v>
      </c>
      <c r="BM31" s="340" t="str">
        <f>IFERROR(ROUND((BL31-B31)/B31,3),"0.0%")</f>
        <v>0.0%</v>
      </c>
    </row>
    <row r="32" spans="1:65" s="234" customFormat="1" thickBot="1" x14ac:dyDescent="0.25">
      <c r="A32" s="256"/>
      <c r="B32" s="407"/>
      <c r="C32" s="279"/>
      <c r="D32" s="407"/>
      <c r="E32" s="327"/>
      <c r="F32" s="328"/>
      <c r="G32" s="408"/>
      <c r="H32" s="316"/>
      <c r="I32" s="317"/>
      <c r="J32" s="408"/>
      <c r="K32" s="316"/>
      <c r="L32" s="317"/>
      <c r="M32" s="408"/>
      <c r="N32" s="316"/>
      <c r="O32" s="317"/>
      <c r="P32" s="408"/>
      <c r="Q32" s="316"/>
      <c r="R32" s="317"/>
      <c r="S32" s="408"/>
      <c r="T32" s="316"/>
      <c r="U32" s="317"/>
      <c r="V32" s="316"/>
      <c r="W32" s="316"/>
      <c r="X32" s="316"/>
      <c r="Y32" s="408"/>
      <c r="Z32" s="316"/>
      <c r="AA32" s="317"/>
      <c r="AB32" s="408"/>
      <c r="AC32" s="316"/>
      <c r="AD32" s="317"/>
      <c r="AE32" s="408"/>
      <c r="AF32" s="316"/>
      <c r="AG32" s="317"/>
      <c r="AH32" s="408"/>
      <c r="AI32" s="316"/>
      <c r="AJ32" s="317"/>
      <c r="AK32" s="408"/>
      <c r="AL32" s="316"/>
      <c r="AM32" s="317"/>
      <c r="AN32" s="408"/>
      <c r="AO32" s="316"/>
      <c r="AP32" s="317"/>
      <c r="AQ32" s="408"/>
      <c r="AR32" s="316"/>
      <c r="AS32" s="317"/>
      <c r="AT32" s="408"/>
      <c r="AU32" s="316"/>
      <c r="AV32" s="317"/>
      <c r="AW32" s="408"/>
      <c r="AX32" s="316"/>
      <c r="AY32" s="317"/>
      <c r="AZ32" s="408"/>
      <c r="BA32" s="316"/>
      <c r="BB32" s="317"/>
      <c r="BC32" s="408"/>
      <c r="BD32" s="316"/>
      <c r="BE32" s="317"/>
      <c r="BF32" s="408"/>
      <c r="BG32" s="316"/>
      <c r="BH32" s="317"/>
      <c r="BI32" s="408"/>
      <c r="BJ32" s="316"/>
      <c r="BK32" s="317"/>
      <c r="BL32" s="408"/>
      <c r="BM32" s="317"/>
    </row>
    <row r="33" spans="1:65" s="234" customFormat="1" thickTop="1" x14ac:dyDescent="0.2">
      <c r="A33" s="240"/>
      <c r="B33" s="297"/>
      <c r="C33" s="297"/>
      <c r="D33" s="297"/>
      <c r="E33" s="272"/>
      <c r="F33" s="272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506"/>
      <c r="AU33" s="506"/>
      <c r="AV33" s="506"/>
      <c r="AW33" s="296"/>
      <c r="AX33" s="296"/>
      <c r="AY33" s="296"/>
      <c r="AZ33" s="296"/>
      <c r="BA33" s="296"/>
      <c r="BB33" s="296"/>
      <c r="BC33" s="296"/>
      <c r="BD33" s="296"/>
      <c r="BE33" s="296"/>
      <c r="BF33" s="296"/>
      <c r="BG33" s="296"/>
      <c r="BH33" s="296"/>
      <c r="BI33" s="296"/>
      <c r="BJ33" s="296"/>
      <c r="BK33" s="296"/>
      <c r="BL33" s="296"/>
      <c r="BM33" s="296"/>
    </row>
    <row r="34" spans="1:65" s="233" customFormat="1" ht="16.5" customHeight="1" thickBot="1" x14ac:dyDescent="0.25">
      <c r="A34" s="516" t="s">
        <v>424</v>
      </c>
      <c r="B34" s="517"/>
      <c r="C34" s="518"/>
      <c r="D34" s="459"/>
      <c r="E34" s="460"/>
      <c r="F34" s="461"/>
      <c r="G34" s="462"/>
      <c r="H34" s="463"/>
      <c r="I34" s="464"/>
      <c r="J34" s="462"/>
      <c r="K34" s="463"/>
      <c r="L34" s="464"/>
      <c r="M34" s="462"/>
      <c r="N34" s="463"/>
      <c r="O34" s="464"/>
      <c r="P34" s="462"/>
      <c r="Q34" s="463"/>
      <c r="R34" s="463"/>
      <c r="S34" s="462"/>
      <c r="T34" s="463"/>
      <c r="U34" s="464"/>
      <c r="V34" s="465"/>
      <c r="W34" s="463"/>
      <c r="X34" s="463"/>
      <c r="Y34" s="462"/>
      <c r="Z34" s="463"/>
      <c r="AA34" s="464"/>
      <c r="AB34" s="462"/>
      <c r="AC34" s="463"/>
      <c r="AD34" s="464"/>
      <c r="AE34" s="462"/>
      <c r="AF34" s="463"/>
      <c r="AG34" s="464"/>
      <c r="AH34" s="462"/>
      <c r="AI34" s="463"/>
      <c r="AJ34" s="464"/>
      <c r="AK34" s="462"/>
      <c r="AL34" s="463"/>
      <c r="AM34" s="464"/>
      <c r="AN34" s="462"/>
      <c r="AO34" s="463"/>
      <c r="AP34" s="464"/>
      <c r="AQ34" s="462"/>
      <c r="AR34" s="463"/>
      <c r="AS34" s="464"/>
      <c r="AT34" s="462"/>
      <c r="AU34" s="463"/>
      <c r="AV34" s="464"/>
      <c r="AW34" s="462"/>
      <c r="AX34" s="463"/>
      <c r="AY34" s="464"/>
      <c r="AZ34" s="462"/>
      <c r="BA34" s="463"/>
      <c r="BB34" s="463"/>
      <c r="BC34" s="462"/>
      <c r="BD34" s="463"/>
      <c r="BE34" s="463"/>
      <c r="BF34" s="462"/>
      <c r="BG34" s="463"/>
      <c r="BH34" s="463"/>
      <c r="BI34" s="462"/>
      <c r="BJ34" s="463"/>
      <c r="BK34" s="463"/>
      <c r="BL34" s="462"/>
      <c r="BM34" s="464"/>
    </row>
    <row r="35" spans="1:65" s="233" customFormat="1" ht="12" x14ac:dyDescent="0.2">
      <c r="A35" s="244" t="s">
        <v>81</v>
      </c>
      <c r="B35" s="381"/>
      <c r="C35" s="382">
        <f>ROUND(B35/12,0)</f>
        <v>0</v>
      </c>
      <c r="D35" s="381"/>
      <c r="E35" s="258" t="str">
        <f t="shared" ref="E35:E57" si="54">IFERROR(ROUND((D35-C35)/C35,3),"0.0%")</f>
        <v>0.0%</v>
      </c>
      <c r="F35" s="259" t="str">
        <f>IFERROR(ROUND((D35-C35)/C35,3),"0.0%")</f>
        <v>0.0%</v>
      </c>
      <c r="G35" s="381"/>
      <c r="H35" s="258" t="str">
        <f>IFERROR(ROUND((G35-C35)/C35,3),"0.0%")</f>
        <v>0.0%</v>
      </c>
      <c r="I35" s="259" t="str">
        <f>IFERROR(ROUND(((G35+D35)-(C35*2))/(C35*2),3),"0.0%")</f>
        <v>0.0%</v>
      </c>
      <c r="J35" s="381"/>
      <c r="K35" s="302" t="str">
        <f t="shared" ref="K35:K57" si="55">IFERROR(ROUND((J35-C35)/C35,3),"0.0%")</f>
        <v>0.0%</v>
      </c>
      <c r="L35" s="286" t="str">
        <f t="shared" ref="L35:L57" si="56">IFERROR(ROUND(((J35+G35+D35)-(C35*3))/(C35*3),3),"0.0%")</f>
        <v>0.0%</v>
      </c>
      <c r="M35" s="384">
        <f>ROUND(D35+G35+J35,0)</f>
        <v>0</v>
      </c>
      <c r="N35" s="302" t="str">
        <f>IFERROR(ROUND((M35-(C35*3))/(C35*3),3),"0.0%")</f>
        <v>0.0%</v>
      </c>
      <c r="O35" s="287" t="str">
        <f>IFERROR(ROUND(((M35)-(C35*3))/(C35*3),3),"0.0%")</f>
        <v>0.0%</v>
      </c>
      <c r="P35" s="381"/>
      <c r="Q35" s="258" t="str">
        <f>IFERROR(ROUND((P35-C35)/C35,3),"0.0%")</f>
        <v>0.0%</v>
      </c>
      <c r="R35" s="259" t="str">
        <f>IFERROR(ROUND(((P35+M35)-(C35*4))/(C35*4),3),"0.0%")</f>
        <v>0.0%</v>
      </c>
      <c r="S35" s="381"/>
      <c r="T35" s="258" t="str">
        <f t="shared" ref="T35:T57" si="57">IFERROR(ROUND((S35-C35)/C35,3),"0.0%")</f>
        <v>0.0%</v>
      </c>
      <c r="U35" s="306" t="str">
        <f t="shared" ref="U35:U57" si="58">IFERROR(ROUND(((S35+P35+M35)-(C35*5))/(C35*5),3),"0.0%")</f>
        <v>0.0%</v>
      </c>
      <c r="V35" s="381"/>
      <c r="W35" s="258" t="str">
        <f>IFERROR(ROUND((V35-C35)/C35,3),"0.0%")</f>
        <v>0.0%</v>
      </c>
      <c r="X35" s="306" t="str">
        <f>IFERROR(ROUND(((V35+S35+P35+M35)-(C35*6))/(C35*6),3),"0.0%")</f>
        <v>0.0%</v>
      </c>
      <c r="Y35" s="384">
        <f>ROUND(V35+S35+P35,0)</f>
        <v>0</v>
      </c>
      <c r="Z35" s="258" t="str">
        <f>IFERROR(ROUND((Y35-(C35*3))/(C35*3),3),"0.0%")</f>
        <v>0.0%</v>
      </c>
      <c r="AA35" s="306" t="str">
        <f>IFERROR(ROUND(((Y35+M35)-(C35*6))/(C35*6),3),"0.0%")</f>
        <v>0.0%</v>
      </c>
      <c r="AB35" s="381"/>
      <c r="AC35" s="258" t="str">
        <f t="shared" ref="AC35:AC57" si="59">IFERROR(ROUND((AB35-C35)/C35,3),"0.0%")</f>
        <v>0.0%</v>
      </c>
      <c r="AD35" s="306" t="str">
        <f t="shared" ref="AD35:AD57" si="60">IFERROR(ROUND(((AB35+Y35+M35)-(C35*7))/(C35*7),3),"0.0%")</f>
        <v>0.0%</v>
      </c>
      <c r="AE35" s="381"/>
      <c r="AF35" s="258" t="str">
        <f t="shared" ref="AF35:AF57" si="61">IFERROR(ROUND((AE35-C35)/C35,3),"0.0%")</f>
        <v>0.0%</v>
      </c>
      <c r="AG35" s="306" t="str">
        <f t="shared" ref="AG35:AG57" si="62">IFERROR(ROUND(((AE35+AB35+Y35+M35)-(C35*8))/(C35*8),3),"0.0%")</f>
        <v>0.0%</v>
      </c>
      <c r="AH35" s="381"/>
      <c r="AI35" s="258" t="str">
        <f>IFERROR(ROUND((AH35-C35)/C35,3),"0.0%")</f>
        <v>0.0%</v>
      </c>
      <c r="AJ35" s="259" t="str">
        <f>IFERROR(ROUND(((AH35+AE35+AB35+Y35+M35)-(C35*9))/(C35*9),3),"0.0%")</f>
        <v>0.0%</v>
      </c>
      <c r="AK35" s="384">
        <f>ROUND(AH35+AE35+AB35,0)</f>
        <v>0</v>
      </c>
      <c r="AL35" s="258" t="str">
        <f t="shared" ref="AL35:AL57" si="63">IFERROR(ROUND((AK35-(C35*3))/(C35*3),3),"0.0%")</f>
        <v>0.0%</v>
      </c>
      <c r="AM35" s="306" t="str">
        <f t="shared" ref="AM35:AM57" si="64">IFERROR(ROUND(((AK35+Y35+M35)-(C35*9))/(C35*9),3),"0.0%")</f>
        <v>0.0%</v>
      </c>
      <c r="AN35" s="383"/>
      <c r="AO35" s="258" t="str">
        <f>IFERROR(ROUND((AN35-C35)/C35,3),"0.0%")</f>
        <v>0.0%</v>
      </c>
      <c r="AP35" s="306" t="str">
        <f>IFERROR(ROUND(((AN35+AK35+Y35+M35)-(C35*10))/(C35*10),3),"0.0%")</f>
        <v>0.0%</v>
      </c>
      <c r="AQ35" s="381"/>
      <c r="AR35" s="258" t="str">
        <f t="shared" ref="AR35:AR57" si="65">IFERROR(ROUND((AQ35-C35)/C35,3),"0.0%")</f>
        <v>0.0%</v>
      </c>
      <c r="AS35" s="306" t="str">
        <f t="shared" ref="AS35:AS57" si="66">IFERROR(ROUND(((AQ35+AN35+AK35+Y35+M35)-(C35*11))/(C35*11),3),"0.0%")</f>
        <v>0.0%</v>
      </c>
      <c r="AT35" s="381"/>
      <c r="AU35" s="258" t="str">
        <f>IFERROR(ROUND((AT35-C35)/C35,3),"0.0%")</f>
        <v>0.0%</v>
      </c>
      <c r="AV35" s="306" t="str">
        <f>IFERROR(ROUND(((AT35+AQ35+AN35+AK35+Y35+M35)-(C35*12))/(C35*12),3),"0.0%")</f>
        <v>0.0%</v>
      </c>
      <c r="AW35" s="384">
        <f>ROUND(AT35+AQ35+AN35,0)</f>
        <v>0</v>
      </c>
      <c r="AX35" s="258" t="str">
        <f t="shared" ref="AX35:AX57" si="67">IFERROR(ROUND((AW35-(C35*3))/(C35*3),3),"0.0%")</f>
        <v>0.0%</v>
      </c>
      <c r="AY35" s="306" t="str">
        <f t="shared" ref="AY35:AY57" si="68">IFERROR(ROUND(((AW35+AK35+Y35+M35)-(C35*12))/(C35*12),3),"0.0%")</f>
        <v>0.0%</v>
      </c>
      <c r="AZ35" s="384">
        <f>M35</f>
        <v>0</v>
      </c>
      <c r="BA35" s="258" t="str">
        <f t="shared" ref="BA35:BA57" si="69">N35</f>
        <v>0.0%</v>
      </c>
      <c r="BB35" s="259" t="str">
        <f t="shared" ref="BB35:BB57" si="70">O35</f>
        <v>0.0%</v>
      </c>
      <c r="BC35" s="384">
        <f>Y35</f>
        <v>0</v>
      </c>
      <c r="BD35" s="258" t="str">
        <f>Z35</f>
        <v>0.0%</v>
      </c>
      <c r="BE35" s="259" t="str">
        <f>AA35</f>
        <v>0.0%</v>
      </c>
      <c r="BF35" s="384">
        <f>AK35</f>
        <v>0</v>
      </c>
      <c r="BG35" s="258" t="str">
        <f>AL35</f>
        <v>0.0%</v>
      </c>
      <c r="BH35" s="259" t="str">
        <f>AM35</f>
        <v>0.0%</v>
      </c>
      <c r="BI35" s="384">
        <f>AW35</f>
        <v>0</v>
      </c>
      <c r="BJ35" s="258" t="str">
        <f>AX35</f>
        <v>0.0%</v>
      </c>
      <c r="BK35" s="259" t="str">
        <f>AY35</f>
        <v>0.0%</v>
      </c>
      <c r="BL35" s="384">
        <f>ROUND(AZ35+BC35+BF35+BI35,0)</f>
        <v>0</v>
      </c>
      <c r="BM35" s="258" t="str">
        <f>IFERROR(ROUND((BL35-B35)/B35,3),"0.0%")</f>
        <v>0.0%</v>
      </c>
    </row>
    <row r="36" spans="1:65" s="233" customFormat="1" ht="12" x14ac:dyDescent="0.2">
      <c r="A36" s="242" t="s">
        <v>82</v>
      </c>
      <c r="B36" s="386"/>
      <c r="C36" s="387">
        <f t="shared" ref="C36:C57" si="71">ROUND(B36/12,0)</f>
        <v>0</v>
      </c>
      <c r="D36" s="386"/>
      <c r="E36" s="260" t="str">
        <f t="shared" si="54"/>
        <v>0.0%</v>
      </c>
      <c r="F36" s="261" t="str">
        <f t="shared" ref="F36:F57" si="72">IFERROR(ROUND((D36-C36)/C36,3),"0.0%")</f>
        <v>0.0%</v>
      </c>
      <c r="G36" s="386"/>
      <c r="H36" s="260" t="str">
        <f t="shared" ref="H36:H57" si="73">IFERROR(ROUND((G36-C36)/C36,3),"0.0%")</f>
        <v>0.0%</v>
      </c>
      <c r="I36" s="261" t="str">
        <f t="shared" ref="I36:I57" si="74">IFERROR(ROUND(((G36+D36)-(C36*2))/(C36*2),3),"0.0%")</f>
        <v>0.0%</v>
      </c>
      <c r="J36" s="386"/>
      <c r="K36" s="303" t="str">
        <f t="shared" si="55"/>
        <v>0.0%</v>
      </c>
      <c r="L36" s="282" t="str">
        <f t="shared" si="56"/>
        <v>0.0%</v>
      </c>
      <c r="M36" s="391">
        <f t="shared" ref="M36:M59" si="75">ROUND(D36+G36+J36,0)</f>
        <v>0</v>
      </c>
      <c r="N36" s="303" t="str">
        <f t="shared" ref="N36:N57" si="76">IFERROR(ROUND((M36-(C36*3))/(C36*3),3),"0.0%")</f>
        <v>0.0%</v>
      </c>
      <c r="O36" s="283" t="str">
        <f t="shared" ref="O36:O57" si="77">IFERROR(ROUND(((M36)-(C36*3))/(C36*3),3),"0.0%")</f>
        <v>0.0%</v>
      </c>
      <c r="P36" s="386"/>
      <c r="Q36" s="260" t="str">
        <f t="shared" ref="Q36:Q57" si="78">IFERROR(ROUND((P36-C36)/C36,3),"0.0%")</f>
        <v>0.0%</v>
      </c>
      <c r="R36" s="261" t="str">
        <f t="shared" ref="R36:R57" si="79">IFERROR(ROUND(((P36+M36)-(C36*4))/(C36*4),3),"0.0%")</f>
        <v>0.0%</v>
      </c>
      <c r="S36" s="386"/>
      <c r="T36" s="260" t="str">
        <f t="shared" si="57"/>
        <v>0.0%</v>
      </c>
      <c r="U36" s="307" t="str">
        <f t="shared" si="58"/>
        <v>0.0%</v>
      </c>
      <c r="V36" s="386"/>
      <c r="W36" s="260" t="str">
        <f t="shared" ref="W36:W57" si="80">IFERROR(ROUND((V36-C36)/C36,3),"0.0%")</f>
        <v>0.0%</v>
      </c>
      <c r="X36" s="307" t="str">
        <f t="shared" ref="X36:X57" si="81">IFERROR(ROUND(((V36+S36+P36+M36)-(C36*6))/(C36*6),3),"0.0%")</f>
        <v>0.0%</v>
      </c>
      <c r="Y36" s="391">
        <f t="shared" ref="Y36:Y57" si="82">ROUND(V36+S36+P36,0)</f>
        <v>0</v>
      </c>
      <c r="Z36" s="260" t="str">
        <f t="shared" ref="Z36:Z57" si="83">IFERROR(ROUND((Y36-(C36*3))/(C36*3),3),"0.0%")</f>
        <v>0.0%</v>
      </c>
      <c r="AA36" s="307" t="str">
        <f t="shared" ref="AA36:AA57" si="84">IFERROR(ROUND(((Y36+M36)-(C36*6))/(C36*6),3),"0.0%")</f>
        <v>0.0%</v>
      </c>
      <c r="AB36" s="386"/>
      <c r="AC36" s="260" t="str">
        <f t="shared" si="59"/>
        <v>0.0%</v>
      </c>
      <c r="AD36" s="307" t="str">
        <f t="shared" si="60"/>
        <v>0.0%</v>
      </c>
      <c r="AE36" s="386"/>
      <c r="AF36" s="260" t="str">
        <f t="shared" si="61"/>
        <v>0.0%</v>
      </c>
      <c r="AG36" s="307" t="str">
        <f t="shared" si="62"/>
        <v>0.0%</v>
      </c>
      <c r="AH36" s="386"/>
      <c r="AI36" s="260" t="str">
        <f t="shared" ref="AI36:AI57" si="85">IFERROR(ROUND((AH36-C36)/C36,3),"0.0%")</f>
        <v>0.0%</v>
      </c>
      <c r="AJ36" s="261" t="str">
        <f t="shared" ref="AJ36:AJ57" si="86">IFERROR(ROUND(((AH36+AE36+AB36+Y36+M36)-(C36*9))/(C36*9),3),"0.0%")</f>
        <v>0.0%</v>
      </c>
      <c r="AK36" s="391">
        <f t="shared" ref="AK36:AK59" si="87">ROUND(AH36+AE36+AB36,0)</f>
        <v>0</v>
      </c>
      <c r="AL36" s="260" t="str">
        <f t="shared" si="63"/>
        <v>0.0%</v>
      </c>
      <c r="AM36" s="307" t="str">
        <f t="shared" si="64"/>
        <v>0.0%</v>
      </c>
      <c r="AN36" s="390"/>
      <c r="AO36" s="260" t="str">
        <f t="shared" ref="AO36:AO57" si="88">IFERROR(ROUND((AN36-C36)/C36,3),"0.0%")</f>
        <v>0.0%</v>
      </c>
      <c r="AP36" s="307" t="str">
        <f t="shared" ref="AP36:AP57" si="89">IFERROR(ROUND(((AN36+AK36+Y36+M36)-(C36*10))/(C36*10),3),"0.0%")</f>
        <v>0.0%</v>
      </c>
      <c r="AQ36" s="386"/>
      <c r="AR36" s="260" t="str">
        <f t="shared" si="65"/>
        <v>0.0%</v>
      </c>
      <c r="AS36" s="307" t="str">
        <f t="shared" si="66"/>
        <v>0.0%</v>
      </c>
      <c r="AT36" s="386"/>
      <c r="AU36" s="260" t="str">
        <f t="shared" ref="AU36:AU57" si="90">IFERROR(ROUND((AT36-C36)/C36,3),"0.0%")</f>
        <v>0.0%</v>
      </c>
      <c r="AV36" s="307" t="str">
        <f t="shared" ref="AV36:AV57" si="91">IFERROR(ROUND(((AT36+AQ36+AN36+AK36+Y36+M36)-(C36*12))/(C36*12),3),"0.0%")</f>
        <v>0.0%</v>
      </c>
      <c r="AW36" s="391">
        <f t="shared" ref="AW36:AW57" si="92">ROUND(AT36+AQ36+AN36,0)</f>
        <v>0</v>
      </c>
      <c r="AX36" s="260" t="str">
        <f t="shared" si="67"/>
        <v>0.0%</v>
      </c>
      <c r="AY36" s="307" t="str">
        <f t="shared" si="68"/>
        <v>0.0%</v>
      </c>
      <c r="AZ36" s="391">
        <f t="shared" ref="AZ36:AZ57" si="93">M36</f>
        <v>0</v>
      </c>
      <c r="BA36" s="260" t="str">
        <f t="shared" si="69"/>
        <v>0.0%</v>
      </c>
      <c r="BB36" s="261" t="str">
        <f t="shared" si="70"/>
        <v>0.0%</v>
      </c>
      <c r="BC36" s="391">
        <f t="shared" ref="BC36:BC57" si="94">Y36</f>
        <v>0</v>
      </c>
      <c r="BD36" s="260" t="str">
        <f t="shared" ref="BD36:BD57" si="95">Z36</f>
        <v>0.0%</v>
      </c>
      <c r="BE36" s="261" t="str">
        <f t="shared" ref="BE36:BE57" si="96">AA36</f>
        <v>0.0%</v>
      </c>
      <c r="BF36" s="391">
        <f t="shared" ref="BF36:BF57" si="97">AK36</f>
        <v>0</v>
      </c>
      <c r="BG36" s="260" t="str">
        <f t="shared" ref="BG36:BG57" si="98">AL36</f>
        <v>0.0%</v>
      </c>
      <c r="BH36" s="261" t="str">
        <f t="shared" ref="BH36:BH57" si="99">AM36</f>
        <v>0.0%</v>
      </c>
      <c r="BI36" s="391">
        <f t="shared" ref="BI36:BI57" si="100">AW36</f>
        <v>0</v>
      </c>
      <c r="BJ36" s="260" t="str">
        <f t="shared" ref="BJ36:BJ57" si="101">AX36</f>
        <v>0.0%</v>
      </c>
      <c r="BK36" s="261" t="str">
        <f t="shared" ref="BK36:BK57" si="102">AY36</f>
        <v>0.0%</v>
      </c>
      <c r="BL36" s="391">
        <f t="shared" ref="BL36:BL57" si="103">ROUND(AZ36+BC36+BF36+BI36,0)</f>
        <v>0</v>
      </c>
      <c r="BM36" s="260" t="str">
        <f t="shared" ref="BM36:BM57" si="104">IFERROR(ROUND((BL36-B36)/B36,3),"0.0%")</f>
        <v>0.0%</v>
      </c>
    </row>
    <row r="37" spans="1:65" s="233" customFormat="1" ht="12" x14ac:dyDescent="0.2">
      <c r="A37" s="245" t="s">
        <v>84</v>
      </c>
      <c r="B37" s="386"/>
      <c r="C37" s="387">
        <f t="shared" si="71"/>
        <v>0</v>
      </c>
      <c r="D37" s="386"/>
      <c r="E37" s="260" t="str">
        <f t="shared" si="54"/>
        <v>0.0%</v>
      </c>
      <c r="F37" s="261" t="str">
        <f t="shared" si="72"/>
        <v>0.0%</v>
      </c>
      <c r="G37" s="386"/>
      <c r="H37" s="260" t="str">
        <f t="shared" si="73"/>
        <v>0.0%</v>
      </c>
      <c r="I37" s="261" t="str">
        <f t="shared" si="74"/>
        <v>0.0%</v>
      </c>
      <c r="J37" s="386"/>
      <c r="K37" s="303" t="str">
        <f t="shared" si="55"/>
        <v>0.0%</v>
      </c>
      <c r="L37" s="282" t="str">
        <f t="shared" si="56"/>
        <v>0.0%</v>
      </c>
      <c r="M37" s="391">
        <f t="shared" si="75"/>
        <v>0</v>
      </c>
      <c r="N37" s="303" t="str">
        <f t="shared" si="76"/>
        <v>0.0%</v>
      </c>
      <c r="O37" s="283" t="str">
        <f t="shared" si="77"/>
        <v>0.0%</v>
      </c>
      <c r="P37" s="386"/>
      <c r="Q37" s="260" t="str">
        <f t="shared" si="78"/>
        <v>0.0%</v>
      </c>
      <c r="R37" s="261" t="str">
        <f t="shared" si="79"/>
        <v>0.0%</v>
      </c>
      <c r="S37" s="386"/>
      <c r="T37" s="260" t="str">
        <f t="shared" si="57"/>
        <v>0.0%</v>
      </c>
      <c r="U37" s="307" t="str">
        <f t="shared" si="58"/>
        <v>0.0%</v>
      </c>
      <c r="V37" s="386"/>
      <c r="W37" s="260" t="str">
        <f t="shared" si="80"/>
        <v>0.0%</v>
      </c>
      <c r="X37" s="307" t="str">
        <f t="shared" si="81"/>
        <v>0.0%</v>
      </c>
      <c r="Y37" s="391">
        <f t="shared" si="82"/>
        <v>0</v>
      </c>
      <c r="Z37" s="260" t="str">
        <f t="shared" si="83"/>
        <v>0.0%</v>
      </c>
      <c r="AA37" s="307" t="str">
        <f t="shared" si="84"/>
        <v>0.0%</v>
      </c>
      <c r="AB37" s="386"/>
      <c r="AC37" s="260" t="str">
        <f t="shared" si="59"/>
        <v>0.0%</v>
      </c>
      <c r="AD37" s="307" t="str">
        <f t="shared" si="60"/>
        <v>0.0%</v>
      </c>
      <c r="AE37" s="386"/>
      <c r="AF37" s="260" t="str">
        <f t="shared" si="61"/>
        <v>0.0%</v>
      </c>
      <c r="AG37" s="307" t="str">
        <f t="shared" si="62"/>
        <v>0.0%</v>
      </c>
      <c r="AH37" s="386"/>
      <c r="AI37" s="260" t="str">
        <f t="shared" si="85"/>
        <v>0.0%</v>
      </c>
      <c r="AJ37" s="261" t="str">
        <f t="shared" si="86"/>
        <v>0.0%</v>
      </c>
      <c r="AK37" s="391">
        <f t="shared" si="87"/>
        <v>0</v>
      </c>
      <c r="AL37" s="260" t="str">
        <f t="shared" si="63"/>
        <v>0.0%</v>
      </c>
      <c r="AM37" s="307" t="str">
        <f t="shared" si="64"/>
        <v>0.0%</v>
      </c>
      <c r="AN37" s="390"/>
      <c r="AO37" s="260" t="str">
        <f t="shared" si="88"/>
        <v>0.0%</v>
      </c>
      <c r="AP37" s="307" t="str">
        <f t="shared" si="89"/>
        <v>0.0%</v>
      </c>
      <c r="AQ37" s="386"/>
      <c r="AR37" s="260" t="str">
        <f t="shared" si="65"/>
        <v>0.0%</v>
      </c>
      <c r="AS37" s="307" t="str">
        <f t="shared" si="66"/>
        <v>0.0%</v>
      </c>
      <c r="AT37" s="386"/>
      <c r="AU37" s="260" t="str">
        <f t="shared" si="90"/>
        <v>0.0%</v>
      </c>
      <c r="AV37" s="307" t="str">
        <f t="shared" si="91"/>
        <v>0.0%</v>
      </c>
      <c r="AW37" s="391">
        <f t="shared" si="92"/>
        <v>0</v>
      </c>
      <c r="AX37" s="260" t="str">
        <f t="shared" si="67"/>
        <v>0.0%</v>
      </c>
      <c r="AY37" s="307" t="str">
        <f t="shared" si="68"/>
        <v>0.0%</v>
      </c>
      <c r="AZ37" s="391">
        <f t="shared" si="93"/>
        <v>0</v>
      </c>
      <c r="BA37" s="260" t="str">
        <f t="shared" si="69"/>
        <v>0.0%</v>
      </c>
      <c r="BB37" s="261" t="str">
        <f t="shared" si="70"/>
        <v>0.0%</v>
      </c>
      <c r="BC37" s="391">
        <f t="shared" si="94"/>
        <v>0</v>
      </c>
      <c r="BD37" s="260" t="str">
        <f t="shared" si="95"/>
        <v>0.0%</v>
      </c>
      <c r="BE37" s="261" t="str">
        <f t="shared" si="96"/>
        <v>0.0%</v>
      </c>
      <c r="BF37" s="391">
        <f t="shared" si="97"/>
        <v>0</v>
      </c>
      <c r="BG37" s="260" t="str">
        <f t="shared" si="98"/>
        <v>0.0%</v>
      </c>
      <c r="BH37" s="261" t="str">
        <f t="shared" si="99"/>
        <v>0.0%</v>
      </c>
      <c r="BI37" s="391">
        <f t="shared" si="100"/>
        <v>0</v>
      </c>
      <c r="BJ37" s="260" t="str">
        <f t="shared" si="101"/>
        <v>0.0%</v>
      </c>
      <c r="BK37" s="261" t="str">
        <f t="shared" si="102"/>
        <v>0.0%</v>
      </c>
      <c r="BL37" s="391">
        <f t="shared" si="103"/>
        <v>0</v>
      </c>
      <c r="BM37" s="260" t="str">
        <f t="shared" si="104"/>
        <v>0.0%</v>
      </c>
    </row>
    <row r="38" spans="1:65" s="233" customFormat="1" ht="12" x14ac:dyDescent="0.2">
      <c r="A38" s="242" t="s">
        <v>85</v>
      </c>
      <c r="B38" s="386"/>
      <c r="C38" s="387">
        <f t="shared" si="71"/>
        <v>0</v>
      </c>
      <c r="D38" s="386"/>
      <c r="E38" s="260" t="str">
        <f t="shared" si="54"/>
        <v>0.0%</v>
      </c>
      <c r="F38" s="261" t="str">
        <f t="shared" si="72"/>
        <v>0.0%</v>
      </c>
      <c r="G38" s="386"/>
      <c r="H38" s="260" t="str">
        <f t="shared" si="73"/>
        <v>0.0%</v>
      </c>
      <c r="I38" s="261" t="str">
        <f t="shared" si="74"/>
        <v>0.0%</v>
      </c>
      <c r="J38" s="386"/>
      <c r="K38" s="303" t="str">
        <f t="shared" si="55"/>
        <v>0.0%</v>
      </c>
      <c r="L38" s="282" t="str">
        <f t="shared" si="56"/>
        <v>0.0%</v>
      </c>
      <c r="M38" s="391">
        <f t="shared" si="75"/>
        <v>0</v>
      </c>
      <c r="N38" s="303" t="str">
        <f t="shared" si="76"/>
        <v>0.0%</v>
      </c>
      <c r="O38" s="283" t="str">
        <f t="shared" si="77"/>
        <v>0.0%</v>
      </c>
      <c r="P38" s="386"/>
      <c r="Q38" s="260" t="str">
        <f t="shared" si="78"/>
        <v>0.0%</v>
      </c>
      <c r="R38" s="261" t="str">
        <f t="shared" si="79"/>
        <v>0.0%</v>
      </c>
      <c r="S38" s="386"/>
      <c r="T38" s="260" t="str">
        <f t="shared" si="57"/>
        <v>0.0%</v>
      </c>
      <c r="U38" s="307" t="str">
        <f t="shared" si="58"/>
        <v>0.0%</v>
      </c>
      <c r="V38" s="386"/>
      <c r="W38" s="260" t="str">
        <f t="shared" si="80"/>
        <v>0.0%</v>
      </c>
      <c r="X38" s="307" t="str">
        <f t="shared" si="81"/>
        <v>0.0%</v>
      </c>
      <c r="Y38" s="391">
        <f t="shared" si="82"/>
        <v>0</v>
      </c>
      <c r="Z38" s="260" t="str">
        <f t="shared" si="83"/>
        <v>0.0%</v>
      </c>
      <c r="AA38" s="307" t="str">
        <f t="shared" si="84"/>
        <v>0.0%</v>
      </c>
      <c r="AB38" s="386"/>
      <c r="AC38" s="260" t="str">
        <f t="shared" si="59"/>
        <v>0.0%</v>
      </c>
      <c r="AD38" s="307" t="str">
        <f t="shared" si="60"/>
        <v>0.0%</v>
      </c>
      <c r="AE38" s="386"/>
      <c r="AF38" s="260" t="str">
        <f t="shared" si="61"/>
        <v>0.0%</v>
      </c>
      <c r="AG38" s="307" t="str">
        <f t="shared" si="62"/>
        <v>0.0%</v>
      </c>
      <c r="AH38" s="386"/>
      <c r="AI38" s="260" t="str">
        <f t="shared" si="85"/>
        <v>0.0%</v>
      </c>
      <c r="AJ38" s="261" t="str">
        <f t="shared" si="86"/>
        <v>0.0%</v>
      </c>
      <c r="AK38" s="391">
        <f t="shared" si="87"/>
        <v>0</v>
      </c>
      <c r="AL38" s="260" t="str">
        <f t="shared" si="63"/>
        <v>0.0%</v>
      </c>
      <c r="AM38" s="307" t="str">
        <f t="shared" si="64"/>
        <v>0.0%</v>
      </c>
      <c r="AN38" s="390"/>
      <c r="AO38" s="260" t="str">
        <f t="shared" si="88"/>
        <v>0.0%</v>
      </c>
      <c r="AP38" s="307" t="str">
        <f t="shared" si="89"/>
        <v>0.0%</v>
      </c>
      <c r="AQ38" s="386"/>
      <c r="AR38" s="260" t="str">
        <f t="shared" si="65"/>
        <v>0.0%</v>
      </c>
      <c r="AS38" s="307" t="str">
        <f t="shared" si="66"/>
        <v>0.0%</v>
      </c>
      <c r="AT38" s="386"/>
      <c r="AU38" s="260" t="str">
        <f t="shared" si="90"/>
        <v>0.0%</v>
      </c>
      <c r="AV38" s="307" t="str">
        <f t="shared" si="91"/>
        <v>0.0%</v>
      </c>
      <c r="AW38" s="391">
        <f t="shared" si="92"/>
        <v>0</v>
      </c>
      <c r="AX38" s="260" t="str">
        <f t="shared" si="67"/>
        <v>0.0%</v>
      </c>
      <c r="AY38" s="307" t="str">
        <f t="shared" si="68"/>
        <v>0.0%</v>
      </c>
      <c r="AZ38" s="391">
        <f t="shared" si="93"/>
        <v>0</v>
      </c>
      <c r="BA38" s="260" t="str">
        <f t="shared" si="69"/>
        <v>0.0%</v>
      </c>
      <c r="BB38" s="261" t="str">
        <f t="shared" si="70"/>
        <v>0.0%</v>
      </c>
      <c r="BC38" s="391">
        <f t="shared" si="94"/>
        <v>0</v>
      </c>
      <c r="BD38" s="260" t="str">
        <f t="shared" si="95"/>
        <v>0.0%</v>
      </c>
      <c r="BE38" s="261" t="str">
        <f t="shared" si="96"/>
        <v>0.0%</v>
      </c>
      <c r="BF38" s="391">
        <f t="shared" si="97"/>
        <v>0</v>
      </c>
      <c r="BG38" s="260" t="str">
        <f t="shared" si="98"/>
        <v>0.0%</v>
      </c>
      <c r="BH38" s="261" t="str">
        <f t="shared" si="99"/>
        <v>0.0%</v>
      </c>
      <c r="BI38" s="391">
        <f t="shared" si="100"/>
        <v>0</v>
      </c>
      <c r="BJ38" s="260" t="str">
        <f t="shared" si="101"/>
        <v>0.0%</v>
      </c>
      <c r="BK38" s="261" t="str">
        <f t="shared" si="102"/>
        <v>0.0%</v>
      </c>
      <c r="BL38" s="391">
        <f t="shared" si="103"/>
        <v>0</v>
      </c>
      <c r="BM38" s="260" t="str">
        <f t="shared" si="104"/>
        <v>0.0%</v>
      </c>
    </row>
    <row r="39" spans="1:65" s="233" customFormat="1" ht="12" x14ac:dyDescent="0.2">
      <c r="A39" s="245" t="s">
        <v>83</v>
      </c>
      <c r="B39" s="386"/>
      <c r="C39" s="387">
        <f t="shared" si="71"/>
        <v>0</v>
      </c>
      <c r="D39" s="386"/>
      <c r="E39" s="260" t="str">
        <f t="shared" si="54"/>
        <v>0.0%</v>
      </c>
      <c r="F39" s="261" t="str">
        <f t="shared" si="72"/>
        <v>0.0%</v>
      </c>
      <c r="G39" s="386"/>
      <c r="H39" s="260" t="str">
        <f t="shared" si="73"/>
        <v>0.0%</v>
      </c>
      <c r="I39" s="261" t="str">
        <f t="shared" si="74"/>
        <v>0.0%</v>
      </c>
      <c r="J39" s="386"/>
      <c r="K39" s="303" t="str">
        <f t="shared" si="55"/>
        <v>0.0%</v>
      </c>
      <c r="L39" s="282" t="str">
        <f t="shared" si="56"/>
        <v>0.0%</v>
      </c>
      <c r="M39" s="391">
        <f t="shared" si="75"/>
        <v>0</v>
      </c>
      <c r="N39" s="303" t="str">
        <f t="shared" si="76"/>
        <v>0.0%</v>
      </c>
      <c r="O39" s="283" t="str">
        <f t="shared" si="77"/>
        <v>0.0%</v>
      </c>
      <c r="P39" s="386"/>
      <c r="Q39" s="260" t="str">
        <f t="shared" si="78"/>
        <v>0.0%</v>
      </c>
      <c r="R39" s="261" t="str">
        <f t="shared" si="79"/>
        <v>0.0%</v>
      </c>
      <c r="S39" s="386"/>
      <c r="T39" s="260" t="str">
        <f t="shared" si="57"/>
        <v>0.0%</v>
      </c>
      <c r="U39" s="307" t="str">
        <f t="shared" si="58"/>
        <v>0.0%</v>
      </c>
      <c r="V39" s="386"/>
      <c r="W39" s="260" t="str">
        <f t="shared" si="80"/>
        <v>0.0%</v>
      </c>
      <c r="X39" s="307" t="str">
        <f t="shared" si="81"/>
        <v>0.0%</v>
      </c>
      <c r="Y39" s="391">
        <f t="shared" si="82"/>
        <v>0</v>
      </c>
      <c r="Z39" s="260" t="str">
        <f t="shared" si="83"/>
        <v>0.0%</v>
      </c>
      <c r="AA39" s="307" t="str">
        <f t="shared" si="84"/>
        <v>0.0%</v>
      </c>
      <c r="AB39" s="386"/>
      <c r="AC39" s="260" t="str">
        <f t="shared" si="59"/>
        <v>0.0%</v>
      </c>
      <c r="AD39" s="307" t="str">
        <f t="shared" si="60"/>
        <v>0.0%</v>
      </c>
      <c r="AE39" s="386"/>
      <c r="AF39" s="260" t="str">
        <f t="shared" si="61"/>
        <v>0.0%</v>
      </c>
      <c r="AG39" s="307" t="str">
        <f t="shared" si="62"/>
        <v>0.0%</v>
      </c>
      <c r="AH39" s="386"/>
      <c r="AI39" s="260" t="str">
        <f t="shared" si="85"/>
        <v>0.0%</v>
      </c>
      <c r="AJ39" s="261" t="str">
        <f t="shared" si="86"/>
        <v>0.0%</v>
      </c>
      <c r="AK39" s="391">
        <f t="shared" si="87"/>
        <v>0</v>
      </c>
      <c r="AL39" s="260" t="str">
        <f t="shared" si="63"/>
        <v>0.0%</v>
      </c>
      <c r="AM39" s="307" t="str">
        <f t="shared" si="64"/>
        <v>0.0%</v>
      </c>
      <c r="AN39" s="390"/>
      <c r="AO39" s="260" t="str">
        <f t="shared" si="88"/>
        <v>0.0%</v>
      </c>
      <c r="AP39" s="307" t="str">
        <f t="shared" si="89"/>
        <v>0.0%</v>
      </c>
      <c r="AQ39" s="386"/>
      <c r="AR39" s="260" t="str">
        <f t="shared" si="65"/>
        <v>0.0%</v>
      </c>
      <c r="AS39" s="307" t="str">
        <f t="shared" si="66"/>
        <v>0.0%</v>
      </c>
      <c r="AT39" s="386"/>
      <c r="AU39" s="260" t="str">
        <f t="shared" si="90"/>
        <v>0.0%</v>
      </c>
      <c r="AV39" s="307" t="str">
        <f t="shared" si="91"/>
        <v>0.0%</v>
      </c>
      <c r="AW39" s="391">
        <f t="shared" si="92"/>
        <v>0</v>
      </c>
      <c r="AX39" s="260" t="str">
        <f t="shared" si="67"/>
        <v>0.0%</v>
      </c>
      <c r="AY39" s="307" t="str">
        <f t="shared" si="68"/>
        <v>0.0%</v>
      </c>
      <c r="AZ39" s="391">
        <f t="shared" si="93"/>
        <v>0</v>
      </c>
      <c r="BA39" s="260" t="str">
        <f t="shared" si="69"/>
        <v>0.0%</v>
      </c>
      <c r="BB39" s="261" t="str">
        <f t="shared" si="70"/>
        <v>0.0%</v>
      </c>
      <c r="BC39" s="391">
        <f t="shared" si="94"/>
        <v>0</v>
      </c>
      <c r="BD39" s="260" t="str">
        <f t="shared" si="95"/>
        <v>0.0%</v>
      </c>
      <c r="BE39" s="261" t="str">
        <f t="shared" si="96"/>
        <v>0.0%</v>
      </c>
      <c r="BF39" s="391">
        <f t="shared" si="97"/>
        <v>0</v>
      </c>
      <c r="BG39" s="260" t="str">
        <f t="shared" si="98"/>
        <v>0.0%</v>
      </c>
      <c r="BH39" s="261" t="str">
        <f t="shared" si="99"/>
        <v>0.0%</v>
      </c>
      <c r="BI39" s="391">
        <f t="shared" si="100"/>
        <v>0</v>
      </c>
      <c r="BJ39" s="260" t="str">
        <f t="shared" si="101"/>
        <v>0.0%</v>
      </c>
      <c r="BK39" s="261" t="str">
        <f t="shared" si="102"/>
        <v>0.0%</v>
      </c>
      <c r="BL39" s="391">
        <f t="shared" si="103"/>
        <v>0</v>
      </c>
      <c r="BM39" s="260" t="str">
        <f t="shared" si="104"/>
        <v>0.0%</v>
      </c>
    </row>
    <row r="40" spans="1:65" s="233" customFormat="1" ht="12" x14ac:dyDescent="0.2">
      <c r="A40" s="242" t="s">
        <v>33</v>
      </c>
      <c r="B40" s="386"/>
      <c r="C40" s="387">
        <f t="shared" si="71"/>
        <v>0</v>
      </c>
      <c r="D40" s="386"/>
      <c r="E40" s="260" t="str">
        <f t="shared" si="54"/>
        <v>0.0%</v>
      </c>
      <c r="F40" s="261" t="str">
        <f t="shared" si="72"/>
        <v>0.0%</v>
      </c>
      <c r="G40" s="386"/>
      <c r="H40" s="260" t="str">
        <f t="shared" si="73"/>
        <v>0.0%</v>
      </c>
      <c r="I40" s="261" t="str">
        <f t="shared" si="74"/>
        <v>0.0%</v>
      </c>
      <c r="J40" s="386"/>
      <c r="K40" s="303" t="str">
        <f t="shared" si="55"/>
        <v>0.0%</v>
      </c>
      <c r="L40" s="282" t="str">
        <f t="shared" si="56"/>
        <v>0.0%</v>
      </c>
      <c r="M40" s="391">
        <f t="shared" si="75"/>
        <v>0</v>
      </c>
      <c r="N40" s="303" t="str">
        <f t="shared" si="76"/>
        <v>0.0%</v>
      </c>
      <c r="O40" s="283" t="str">
        <f t="shared" si="77"/>
        <v>0.0%</v>
      </c>
      <c r="P40" s="386"/>
      <c r="Q40" s="260" t="str">
        <f t="shared" si="78"/>
        <v>0.0%</v>
      </c>
      <c r="R40" s="261" t="str">
        <f t="shared" si="79"/>
        <v>0.0%</v>
      </c>
      <c r="S40" s="386"/>
      <c r="T40" s="260" t="str">
        <f t="shared" si="57"/>
        <v>0.0%</v>
      </c>
      <c r="U40" s="307" t="str">
        <f t="shared" si="58"/>
        <v>0.0%</v>
      </c>
      <c r="V40" s="386"/>
      <c r="W40" s="260" t="str">
        <f t="shared" si="80"/>
        <v>0.0%</v>
      </c>
      <c r="X40" s="307" t="str">
        <f t="shared" si="81"/>
        <v>0.0%</v>
      </c>
      <c r="Y40" s="391">
        <f t="shared" si="82"/>
        <v>0</v>
      </c>
      <c r="Z40" s="260" t="str">
        <f t="shared" si="83"/>
        <v>0.0%</v>
      </c>
      <c r="AA40" s="307" t="str">
        <f t="shared" si="84"/>
        <v>0.0%</v>
      </c>
      <c r="AB40" s="386"/>
      <c r="AC40" s="260" t="str">
        <f t="shared" si="59"/>
        <v>0.0%</v>
      </c>
      <c r="AD40" s="307" t="str">
        <f t="shared" si="60"/>
        <v>0.0%</v>
      </c>
      <c r="AE40" s="386"/>
      <c r="AF40" s="260" t="str">
        <f t="shared" si="61"/>
        <v>0.0%</v>
      </c>
      <c r="AG40" s="307" t="str">
        <f t="shared" si="62"/>
        <v>0.0%</v>
      </c>
      <c r="AH40" s="386"/>
      <c r="AI40" s="260" t="str">
        <f t="shared" si="85"/>
        <v>0.0%</v>
      </c>
      <c r="AJ40" s="261" t="str">
        <f t="shared" si="86"/>
        <v>0.0%</v>
      </c>
      <c r="AK40" s="391">
        <f t="shared" si="87"/>
        <v>0</v>
      </c>
      <c r="AL40" s="260" t="str">
        <f t="shared" si="63"/>
        <v>0.0%</v>
      </c>
      <c r="AM40" s="307" t="str">
        <f t="shared" si="64"/>
        <v>0.0%</v>
      </c>
      <c r="AN40" s="390"/>
      <c r="AO40" s="260" t="str">
        <f t="shared" si="88"/>
        <v>0.0%</v>
      </c>
      <c r="AP40" s="307" t="str">
        <f t="shared" si="89"/>
        <v>0.0%</v>
      </c>
      <c r="AQ40" s="386"/>
      <c r="AR40" s="260" t="str">
        <f t="shared" si="65"/>
        <v>0.0%</v>
      </c>
      <c r="AS40" s="307" t="str">
        <f t="shared" si="66"/>
        <v>0.0%</v>
      </c>
      <c r="AT40" s="386"/>
      <c r="AU40" s="260" t="str">
        <f t="shared" si="90"/>
        <v>0.0%</v>
      </c>
      <c r="AV40" s="307" t="str">
        <f t="shared" si="91"/>
        <v>0.0%</v>
      </c>
      <c r="AW40" s="391">
        <f t="shared" si="92"/>
        <v>0</v>
      </c>
      <c r="AX40" s="260" t="str">
        <f t="shared" si="67"/>
        <v>0.0%</v>
      </c>
      <c r="AY40" s="307" t="str">
        <f t="shared" si="68"/>
        <v>0.0%</v>
      </c>
      <c r="AZ40" s="391">
        <f t="shared" si="93"/>
        <v>0</v>
      </c>
      <c r="BA40" s="260" t="str">
        <f t="shared" si="69"/>
        <v>0.0%</v>
      </c>
      <c r="BB40" s="261" t="str">
        <f t="shared" si="70"/>
        <v>0.0%</v>
      </c>
      <c r="BC40" s="391">
        <f t="shared" si="94"/>
        <v>0</v>
      </c>
      <c r="BD40" s="260" t="str">
        <f t="shared" si="95"/>
        <v>0.0%</v>
      </c>
      <c r="BE40" s="261" t="str">
        <f t="shared" si="96"/>
        <v>0.0%</v>
      </c>
      <c r="BF40" s="391">
        <f t="shared" si="97"/>
        <v>0</v>
      </c>
      <c r="BG40" s="260" t="str">
        <f t="shared" si="98"/>
        <v>0.0%</v>
      </c>
      <c r="BH40" s="261" t="str">
        <f t="shared" si="99"/>
        <v>0.0%</v>
      </c>
      <c r="BI40" s="391">
        <f t="shared" si="100"/>
        <v>0</v>
      </c>
      <c r="BJ40" s="260" t="str">
        <f t="shared" si="101"/>
        <v>0.0%</v>
      </c>
      <c r="BK40" s="261" t="str">
        <f t="shared" si="102"/>
        <v>0.0%</v>
      </c>
      <c r="BL40" s="391">
        <f t="shared" si="103"/>
        <v>0</v>
      </c>
      <c r="BM40" s="260" t="str">
        <f t="shared" si="104"/>
        <v>0.0%</v>
      </c>
    </row>
    <row r="41" spans="1:65" s="233" customFormat="1" ht="12" x14ac:dyDescent="0.2">
      <c r="A41" s="245" t="s">
        <v>35</v>
      </c>
      <c r="B41" s="386"/>
      <c r="C41" s="387">
        <f t="shared" si="71"/>
        <v>0</v>
      </c>
      <c r="D41" s="386"/>
      <c r="E41" s="260" t="str">
        <f t="shared" si="54"/>
        <v>0.0%</v>
      </c>
      <c r="F41" s="261" t="str">
        <f t="shared" si="72"/>
        <v>0.0%</v>
      </c>
      <c r="G41" s="386"/>
      <c r="H41" s="260" t="str">
        <f t="shared" si="73"/>
        <v>0.0%</v>
      </c>
      <c r="I41" s="261" t="str">
        <f t="shared" si="74"/>
        <v>0.0%</v>
      </c>
      <c r="J41" s="386"/>
      <c r="K41" s="303" t="str">
        <f t="shared" si="55"/>
        <v>0.0%</v>
      </c>
      <c r="L41" s="282" t="str">
        <f t="shared" si="56"/>
        <v>0.0%</v>
      </c>
      <c r="M41" s="391">
        <f t="shared" si="75"/>
        <v>0</v>
      </c>
      <c r="N41" s="303" t="str">
        <f t="shared" si="76"/>
        <v>0.0%</v>
      </c>
      <c r="O41" s="283" t="str">
        <f t="shared" si="77"/>
        <v>0.0%</v>
      </c>
      <c r="P41" s="386"/>
      <c r="Q41" s="260" t="str">
        <f t="shared" si="78"/>
        <v>0.0%</v>
      </c>
      <c r="R41" s="261" t="str">
        <f t="shared" si="79"/>
        <v>0.0%</v>
      </c>
      <c r="S41" s="386"/>
      <c r="T41" s="260" t="str">
        <f t="shared" si="57"/>
        <v>0.0%</v>
      </c>
      <c r="U41" s="307" t="str">
        <f t="shared" si="58"/>
        <v>0.0%</v>
      </c>
      <c r="V41" s="386"/>
      <c r="W41" s="260" t="str">
        <f t="shared" si="80"/>
        <v>0.0%</v>
      </c>
      <c r="X41" s="307" t="str">
        <f t="shared" si="81"/>
        <v>0.0%</v>
      </c>
      <c r="Y41" s="391">
        <f t="shared" si="82"/>
        <v>0</v>
      </c>
      <c r="Z41" s="260" t="str">
        <f t="shared" si="83"/>
        <v>0.0%</v>
      </c>
      <c r="AA41" s="307" t="str">
        <f t="shared" si="84"/>
        <v>0.0%</v>
      </c>
      <c r="AB41" s="386"/>
      <c r="AC41" s="260" t="str">
        <f t="shared" si="59"/>
        <v>0.0%</v>
      </c>
      <c r="AD41" s="307" t="str">
        <f t="shared" si="60"/>
        <v>0.0%</v>
      </c>
      <c r="AE41" s="386"/>
      <c r="AF41" s="260" t="str">
        <f t="shared" si="61"/>
        <v>0.0%</v>
      </c>
      <c r="AG41" s="307" t="str">
        <f t="shared" si="62"/>
        <v>0.0%</v>
      </c>
      <c r="AH41" s="386"/>
      <c r="AI41" s="260" t="str">
        <f t="shared" si="85"/>
        <v>0.0%</v>
      </c>
      <c r="AJ41" s="261" t="str">
        <f t="shared" si="86"/>
        <v>0.0%</v>
      </c>
      <c r="AK41" s="391">
        <f t="shared" si="87"/>
        <v>0</v>
      </c>
      <c r="AL41" s="260" t="str">
        <f t="shared" si="63"/>
        <v>0.0%</v>
      </c>
      <c r="AM41" s="307" t="str">
        <f t="shared" si="64"/>
        <v>0.0%</v>
      </c>
      <c r="AN41" s="390"/>
      <c r="AO41" s="260" t="str">
        <f t="shared" si="88"/>
        <v>0.0%</v>
      </c>
      <c r="AP41" s="307" t="str">
        <f t="shared" si="89"/>
        <v>0.0%</v>
      </c>
      <c r="AQ41" s="386"/>
      <c r="AR41" s="260" t="str">
        <f t="shared" si="65"/>
        <v>0.0%</v>
      </c>
      <c r="AS41" s="307" t="str">
        <f t="shared" si="66"/>
        <v>0.0%</v>
      </c>
      <c r="AT41" s="386"/>
      <c r="AU41" s="260" t="str">
        <f t="shared" si="90"/>
        <v>0.0%</v>
      </c>
      <c r="AV41" s="307" t="str">
        <f t="shared" si="91"/>
        <v>0.0%</v>
      </c>
      <c r="AW41" s="391">
        <f t="shared" si="92"/>
        <v>0</v>
      </c>
      <c r="AX41" s="260" t="str">
        <f t="shared" si="67"/>
        <v>0.0%</v>
      </c>
      <c r="AY41" s="307" t="str">
        <f t="shared" si="68"/>
        <v>0.0%</v>
      </c>
      <c r="AZ41" s="391">
        <f t="shared" si="93"/>
        <v>0</v>
      </c>
      <c r="BA41" s="260" t="str">
        <f t="shared" si="69"/>
        <v>0.0%</v>
      </c>
      <c r="BB41" s="261" t="str">
        <f t="shared" si="70"/>
        <v>0.0%</v>
      </c>
      <c r="BC41" s="391">
        <f t="shared" si="94"/>
        <v>0</v>
      </c>
      <c r="BD41" s="260" t="str">
        <f t="shared" si="95"/>
        <v>0.0%</v>
      </c>
      <c r="BE41" s="261" t="str">
        <f t="shared" si="96"/>
        <v>0.0%</v>
      </c>
      <c r="BF41" s="391">
        <f t="shared" si="97"/>
        <v>0</v>
      </c>
      <c r="BG41" s="260" t="str">
        <f t="shared" si="98"/>
        <v>0.0%</v>
      </c>
      <c r="BH41" s="261" t="str">
        <f t="shared" si="99"/>
        <v>0.0%</v>
      </c>
      <c r="BI41" s="391">
        <f t="shared" si="100"/>
        <v>0</v>
      </c>
      <c r="BJ41" s="260" t="str">
        <f t="shared" si="101"/>
        <v>0.0%</v>
      </c>
      <c r="BK41" s="261" t="str">
        <f t="shared" si="102"/>
        <v>0.0%</v>
      </c>
      <c r="BL41" s="391">
        <f t="shared" si="103"/>
        <v>0</v>
      </c>
      <c r="BM41" s="260" t="str">
        <f t="shared" si="104"/>
        <v>0.0%</v>
      </c>
    </row>
    <row r="42" spans="1:65" s="233" customFormat="1" ht="12" x14ac:dyDescent="0.2">
      <c r="A42" s="242" t="s">
        <v>37</v>
      </c>
      <c r="B42" s="386"/>
      <c r="C42" s="387">
        <f t="shared" si="71"/>
        <v>0</v>
      </c>
      <c r="D42" s="386"/>
      <c r="E42" s="260" t="str">
        <f t="shared" si="54"/>
        <v>0.0%</v>
      </c>
      <c r="F42" s="261" t="str">
        <f t="shared" si="72"/>
        <v>0.0%</v>
      </c>
      <c r="G42" s="386"/>
      <c r="H42" s="260" t="str">
        <f t="shared" si="73"/>
        <v>0.0%</v>
      </c>
      <c r="I42" s="261" t="str">
        <f t="shared" si="74"/>
        <v>0.0%</v>
      </c>
      <c r="J42" s="386"/>
      <c r="K42" s="303" t="str">
        <f t="shared" si="55"/>
        <v>0.0%</v>
      </c>
      <c r="L42" s="282" t="str">
        <f t="shared" si="56"/>
        <v>0.0%</v>
      </c>
      <c r="M42" s="391">
        <f t="shared" si="75"/>
        <v>0</v>
      </c>
      <c r="N42" s="303" t="str">
        <f t="shared" si="76"/>
        <v>0.0%</v>
      </c>
      <c r="O42" s="283" t="str">
        <f t="shared" si="77"/>
        <v>0.0%</v>
      </c>
      <c r="P42" s="386"/>
      <c r="Q42" s="260" t="str">
        <f t="shared" si="78"/>
        <v>0.0%</v>
      </c>
      <c r="R42" s="261" t="str">
        <f t="shared" si="79"/>
        <v>0.0%</v>
      </c>
      <c r="S42" s="386"/>
      <c r="T42" s="260" t="str">
        <f t="shared" si="57"/>
        <v>0.0%</v>
      </c>
      <c r="U42" s="307" t="str">
        <f t="shared" si="58"/>
        <v>0.0%</v>
      </c>
      <c r="V42" s="386"/>
      <c r="W42" s="260" t="str">
        <f t="shared" si="80"/>
        <v>0.0%</v>
      </c>
      <c r="X42" s="307" t="str">
        <f t="shared" si="81"/>
        <v>0.0%</v>
      </c>
      <c r="Y42" s="391">
        <f t="shared" si="82"/>
        <v>0</v>
      </c>
      <c r="Z42" s="260" t="str">
        <f t="shared" si="83"/>
        <v>0.0%</v>
      </c>
      <c r="AA42" s="307" t="str">
        <f t="shared" si="84"/>
        <v>0.0%</v>
      </c>
      <c r="AB42" s="386"/>
      <c r="AC42" s="260" t="str">
        <f t="shared" si="59"/>
        <v>0.0%</v>
      </c>
      <c r="AD42" s="307" t="str">
        <f t="shared" si="60"/>
        <v>0.0%</v>
      </c>
      <c r="AE42" s="386"/>
      <c r="AF42" s="260" t="str">
        <f t="shared" si="61"/>
        <v>0.0%</v>
      </c>
      <c r="AG42" s="307" t="str">
        <f t="shared" si="62"/>
        <v>0.0%</v>
      </c>
      <c r="AH42" s="386"/>
      <c r="AI42" s="260" t="str">
        <f t="shared" si="85"/>
        <v>0.0%</v>
      </c>
      <c r="AJ42" s="261" t="str">
        <f t="shared" si="86"/>
        <v>0.0%</v>
      </c>
      <c r="AK42" s="391">
        <f t="shared" si="87"/>
        <v>0</v>
      </c>
      <c r="AL42" s="260" t="str">
        <f t="shared" si="63"/>
        <v>0.0%</v>
      </c>
      <c r="AM42" s="307" t="str">
        <f t="shared" si="64"/>
        <v>0.0%</v>
      </c>
      <c r="AN42" s="390"/>
      <c r="AO42" s="260" t="str">
        <f t="shared" si="88"/>
        <v>0.0%</v>
      </c>
      <c r="AP42" s="307" t="str">
        <f t="shared" si="89"/>
        <v>0.0%</v>
      </c>
      <c r="AQ42" s="386"/>
      <c r="AR42" s="260" t="str">
        <f t="shared" si="65"/>
        <v>0.0%</v>
      </c>
      <c r="AS42" s="307" t="str">
        <f t="shared" si="66"/>
        <v>0.0%</v>
      </c>
      <c r="AT42" s="386"/>
      <c r="AU42" s="260" t="str">
        <f t="shared" si="90"/>
        <v>0.0%</v>
      </c>
      <c r="AV42" s="307" t="str">
        <f t="shared" si="91"/>
        <v>0.0%</v>
      </c>
      <c r="AW42" s="391">
        <f t="shared" si="92"/>
        <v>0</v>
      </c>
      <c r="AX42" s="260" t="str">
        <f t="shared" si="67"/>
        <v>0.0%</v>
      </c>
      <c r="AY42" s="307" t="str">
        <f t="shared" si="68"/>
        <v>0.0%</v>
      </c>
      <c r="AZ42" s="391">
        <f t="shared" si="93"/>
        <v>0</v>
      </c>
      <c r="BA42" s="260" t="str">
        <f t="shared" si="69"/>
        <v>0.0%</v>
      </c>
      <c r="BB42" s="261" t="str">
        <f t="shared" si="70"/>
        <v>0.0%</v>
      </c>
      <c r="BC42" s="391">
        <f t="shared" si="94"/>
        <v>0</v>
      </c>
      <c r="BD42" s="260" t="str">
        <f t="shared" si="95"/>
        <v>0.0%</v>
      </c>
      <c r="BE42" s="261" t="str">
        <f t="shared" si="96"/>
        <v>0.0%</v>
      </c>
      <c r="BF42" s="391">
        <f t="shared" si="97"/>
        <v>0</v>
      </c>
      <c r="BG42" s="260" t="str">
        <f t="shared" si="98"/>
        <v>0.0%</v>
      </c>
      <c r="BH42" s="261" t="str">
        <f t="shared" si="99"/>
        <v>0.0%</v>
      </c>
      <c r="BI42" s="391">
        <f t="shared" si="100"/>
        <v>0</v>
      </c>
      <c r="BJ42" s="260" t="str">
        <f t="shared" si="101"/>
        <v>0.0%</v>
      </c>
      <c r="BK42" s="261" t="str">
        <f t="shared" si="102"/>
        <v>0.0%</v>
      </c>
      <c r="BL42" s="391">
        <f t="shared" si="103"/>
        <v>0</v>
      </c>
      <c r="BM42" s="260" t="str">
        <f t="shared" si="104"/>
        <v>0.0%</v>
      </c>
    </row>
    <row r="43" spans="1:65" s="233" customFormat="1" ht="12" x14ac:dyDescent="0.2">
      <c r="A43" s="245" t="s">
        <v>42</v>
      </c>
      <c r="B43" s="386"/>
      <c r="C43" s="387">
        <f t="shared" si="71"/>
        <v>0</v>
      </c>
      <c r="D43" s="386"/>
      <c r="E43" s="260" t="str">
        <f t="shared" si="54"/>
        <v>0.0%</v>
      </c>
      <c r="F43" s="261" t="str">
        <f t="shared" si="72"/>
        <v>0.0%</v>
      </c>
      <c r="G43" s="386"/>
      <c r="H43" s="260" t="str">
        <f t="shared" si="73"/>
        <v>0.0%</v>
      </c>
      <c r="I43" s="261" t="str">
        <f t="shared" si="74"/>
        <v>0.0%</v>
      </c>
      <c r="J43" s="386"/>
      <c r="K43" s="303" t="str">
        <f t="shared" si="55"/>
        <v>0.0%</v>
      </c>
      <c r="L43" s="282" t="str">
        <f t="shared" si="56"/>
        <v>0.0%</v>
      </c>
      <c r="M43" s="391">
        <f t="shared" si="75"/>
        <v>0</v>
      </c>
      <c r="N43" s="303" t="str">
        <f t="shared" si="76"/>
        <v>0.0%</v>
      </c>
      <c r="O43" s="283" t="str">
        <f t="shared" si="77"/>
        <v>0.0%</v>
      </c>
      <c r="P43" s="386"/>
      <c r="Q43" s="260" t="str">
        <f t="shared" si="78"/>
        <v>0.0%</v>
      </c>
      <c r="R43" s="261" t="str">
        <f t="shared" si="79"/>
        <v>0.0%</v>
      </c>
      <c r="S43" s="386"/>
      <c r="T43" s="260" t="str">
        <f t="shared" si="57"/>
        <v>0.0%</v>
      </c>
      <c r="U43" s="307" t="str">
        <f t="shared" si="58"/>
        <v>0.0%</v>
      </c>
      <c r="V43" s="386"/>
      <c r="W43" s="260" t="str">
        <f t="shared" si="80"/>
        <v>0.0%</v>
      </c>
      <c r="X43" s="307" t="str">
        <f t="shared" si="81"/>
        <v>0.0%</v>
      </c>
      <c r="Y43" s="391">
        <f t="shared" si="82"/>
        <v>0</v>
      </c>
      <c r="Z43" s="260" t="str">
        <f t="shared" si="83"/>
        <v>0.0%</v>
      </c>
      <c r="AA43" s="307" t="str">
        <f t="shared" si="84"/>
        <v>0.0%</v>
      </c>
      <c r="AB43" s="386"/>
      <c r="AC43" s="260" t="str">
        <f t="shared" si="59"/>
        <v>0.0%</v>
      </c>
      <c r="AD43" s="307" t="str">
        <f t="shared" si="60"/>
        <v>0.0%</v>
      </c>
      <c r="AE43" s="386"/>
      <c r="AF43" s="260" t="str">
        <f t="shared" si="61"/>
        <v>0.0%</v>
      </c>
      <c r="AG43" s="307" t="str">
        <f t="shared" si="62"/>
        <v>0.0%</v>
      </c>
      <c r="AH43" s="386"/>
      <c r="AI43" s="260" t="str">
        <f t="shared" si="85"/>
        <v>0.0%</v>
      </c>
      <c r="AJ43" s="261" t="str">
        <f t="shared" si="86"/>
        <v>0.0%</v>
      </c>
      <c r="AK43" s="391">
        <f t="shared" si="87"/>
        <v>0</v>
      </c>
      <c r="AL43" s="260" t="str">
        <f t="shared" si="63"/>
        <v>0.0%</v>
      </c>
      <c r="AM43" s="307" t="str">
        <f t="shared" si="64"/>
        <v>0.0%</v>
      </c>
      <c r="AN43" s="390"/>
      <c r="AO43" s="260" t="str">
        <f t="shared" si="88"/>
        <v>0.0%</v>
      </c>
      <c r="AP43" s="307" t="str">
        <f t="shared" si="89"/>
        <v>0.0%</v>
      </c>
      <c r="AQ43" s="386"/>
      <c r="AR43" s="260" t="str">
        <f t="shared" si="65"/>
        <v>0.0%</v>
      </c>
      <c r="AS43" s="307" t="str">
        <f t="shared" si="66"/>
        <v>0.0%</v>
      </c>
      <c r="AT43" s="386"/>
      <c r="AU43" s="260" t="str">
        <f t="shared" si="90"/>
        <v>0.0%</v>
      </c>
      <c r="AV43" s="307" t="str">
        <f t="shared" si="91"/>
        <v>0.0%</v>
      </c>
      <c r="AW43" s="391">
        <f t="shared" si="92"/>
        <v>0</v>
      </c>
      <c r="AX43" s="260" t="str">
        <f t="shared" si="67"/>
        <v>0.0%</v>
      </c>
      <c r="AY43" s="307" t="str">
        <f t="shared" si="68"/>
        <v>0.0%</v>
      </c>
      <c r="AZ43" s="391">
        <f t="shared" si="93"/>
        <v>0</v>
      </c>
      <c r="BA43" s="260" t="str">
        <f t="shared" si="69"/>
        <v>0.0%</v>
      </c>
      <c r="BB43" s="261" t="str">
        <f t="shared" si="70"/>
        <v>0.0%</v>
      </c>
      <c r="BC43" s="391">
        <f t="shared" si="94"/>
        <v>0</v>
      </c>
      <c r="BD43" s="260" t="str">
        <f t="shared" si="95"/>
        <v>0.0%</v>
      </c>
      <c r="BE43" s="261" t="str">
        <f t="shared" si="96"/>
        <v>0.0%</v>
      </c>
      <c r="BF43" s="391">
        <f t="shared" si="97"/>
        <v>0</v>
      </c>
      <c r="BG43" s="260" t="str">
        <f t="shared" si="98"/>
        <v>0.0%</v>
      </c>
      <c r="BH43" s="261" t="str">
        <f t="shared" si="99"/>
        <v>0.0%</v>
      </c>
      <c r="BI43" s="391">
        <f t="shared" si="100"/>
        <v>0</v>
      </c>
      <c r="BJ43" s="260" t="str">
        <f t="shared" si="101"/>
        <v>0.0%</v>
      </c>
      <c r="BK43" s="261" t="str">
        <f t="shared" si="102"/>
        <v>0.0%</v>
      </c>
      <c r="BL43" s="391">
        <f t="shared" si="103"/>
        <v>0</v>
      </c>
      <c r="BM43" s="260" t="str">
        <f t="shared" si="104"/>
        <v>0.0%</v>
      </c>
    </row>
    <row r="44" spans="1:65" s="233" customFormat="1" ht="12" x14ac:dyDescent="0.2">
      <c r="A44" s="242" t="s">
        <v>664</v>
      </c>
      <c r="B44" s="386"/>
      <c r="C44" s="387">
        <f t="shared" si="71"/>
        <v>0</v>
      </c>
      <c r="D44" s="386"/>
      <c r="E44" s="260" t="str">
        <f t="shared" si="54"/>
        <v>0.0%</v>
      </c>
      <c r="F44" s="261" t="str">
        <f t="shared" si="72"/>
        <v>0.0%</v>
      </c>
      <c r="G44" s="386"/>
      <c r="H44" s="260" t="str">
        <f t="shared" si="73"/>
        <v>0.0%</v>
      </c>
      <c r="I44" s="261" t="str">
        <f t="shared" si="74"/>
        <v>0.0%</v>
      </c>
      <c r="J44" s="386"/>
      <c r="K44" s="303" t="str">
        <f t="shared" si="55"/>
        <v>0.0%</v>
      </c>
      <c r="L44" s="282" t="str">
        <f t="shared" si="56"/>
        <v>0.0%</v>
      </c>
      <c r="M44" s="391">
        <f t="shared" si="75"/>
        <v>0</v>
      </c>
      <c r="N44" s="303" t="str">
        <f t="shared" si="76"/>
        <v>0.0%</v>
      </c>
      <c r="O44" s="283" t="str">
        <f t="shared" si="77"/>
        <v>0.0%</v>
      </c>
      <c r="P44" s="386"/>
      <c r="Q44" s="260" t="str">
        <f t="shared" si="78"/>
        <v>0.0%</v>
      </c>
      <c r="R44" s="261" t="str">
        <f t="shared" si="79"/>
        <v>0.0%</v>
      </c>
      <c r="S44" s="386"/>
      <c r="T44" s="260" t="str">
        <f t="shared" si="57"/>
        <v>0.0%</v>
      </c>
      <c r="U44" s="307" t="str">
        <f t="shared" si="58"/>
        <v>0.0%</v>
      </c>
      <c r="V44" s="386"/>
      <c r="W44" s="260" t="str">
        <f t="shared" si="80"/>
        <v>0.0%</v>
      </c>
      <c r="X44" s="307" t="str">
        <f t="shared" si="81"/>
        <v>0.0%</v>
      </c>
      <c r="Y44" s="391">
        <f t="shared" si="82"/>
        <v>0</v>
      </c>
      <c r="Z44" s="260" t="str">
        <f t="shared" si="83"/>
        <v>0.0%</v>
      </c>
      <c r="AA44" s="307" t="str">
        <f t="shared" si="84"/>
        <v>0.0%</v>
      </c>
      <c r="AB44" s="386"/>
      <c r="AC44" s="260" t="str">
        <f t="shared" si="59"/>
        <v>0.0%</v>
      </c>
      <c r="AD44" s="307" t="str">
        <f t="shared" si="60"/>
        <v>0.0%</v>
      </c>
      <c r="AE44" s="386"/>
      <c r="AF44" s="260" t="str">
        <f t="shared" si="61"/>
        <v>0.0%</v>
      </c>
      <c r="AG44" s="307" t="str">
        <f t="shared" si="62"/>
        <v>0.0%</v>
      </c>
      <c r="AH44" s="386"/>
      <c r="AI44" s="260" t="str">
        <f t="shared" si="85"/>
        <v>0.0%</v>
      </c>
      <c r="AJ44" s="261" t="str">
        <f t="shared" si="86"/>
        <v>0.0%</v>
      </c>
      <c r="AK44" s="391">
        <f t="shared" si="87"/>
        <v>0</v>
      </c>
      <c r="AL44" s="260" t="str">
        <f t="shared" si="63"/>
        <v>0.0%</v>
      </c>
      <c r="AM44" s="307" t="str">
        <f t="shared" si="64"/>
        <v>0.0%</v>
      </c>
      <c r="AN44" s="390"/>
      <c r="AO44" s="260" t="str">
        <f t="shared" si="88"/>
        <v>0.0%</v>
      </c>
      <c r="AP44" s="307" t="str">
        <f t="shared" si="89"/>
        <v>0.0%</v>
      </c>
      <c r="AQ44" s="386"/>
      <c r="AR44" s="260" t="str">
        <f t="shared" si="65"/>
        <v>0.0%</v>
      </c>
      <c r="AS44" s="307" t="str">
        <f t="shared" si="66"/>
        <v>0.0%</v>
      </c>
      <c r="AT44" s="386"/>
      <c r="AU44" s="260" t="str">
        <f t="shared" si="90"/>
        <v>0.0%</v>
      </c>
      <c r="AV44" s="307" t="str">
        <f t="shared" si="91"/>
        <v>0.0%</v>
      </c>
      <c r="AW44" s="391">
        <f t="shared" si="92"/>
        <v>0</v>
      </c>
      <c r="AX44" s="260" t="str">
        <f t="shared" si="67"/>
        <v>0.0%</v>
      </c>
      <c r="AY44" s="307" t="str">
        <f t="shared" si="68"/>
        <v>0.0%</v>
      </c>
      <c r="AZ44" s="391">
        <f t="shared" si="93"/>
        <v>0</v>
      </c>
      <c r="BA44" s="260" t="str">
        <f t="shared" si="69"/>
        <v>0.0%</v>
      </c>
      <c r="BB44" s="261" t="str">
        <f t="shared" si="70"/>
        <v>0.0%</v>
      </c>
      <c r="BC44" s="391">
        <f t="shared" si="94"/>
        <v>0</v>
      </c>
      <c r="BD44" s="260" t="str">
        <f t="shared" si="95"/>
        <v>0.0%</v>
      </c>
      <c r="BE44" s="261" t="str">
        <f t="shared" si="96"/>
        <v>0.0%</v>
      </c>
      <c r="BF44" s="391">
        <f t="shared" si="97"/>
        <v>0</v>
      </c>
      <c r="BG44" s="260" t="str">
        <f t="shared" si="98"/>
        <v>0.0%</v>
      </c>
      <c r="BH44" s="261" t="str">
        <f t="shared" si="99"/>
        <v>0.0%</v>
      </c>
      <c r="BI44" s="391">
        <f t="shared" si="100"/>
        <v>0</v>
      </c>
      <c r="BJ44" s="260" t="str">
        <f t="shared" si="101"/>
        <v>0.0%</v>
      </c>
      <c r="BK44" s="261" t="str">
        <f t="shared" si="102"/>
        <v>0.0%</v>
      </c>
      <c r="BL44" s="391">
        <f t="shared" si="103"/>
        <v>0</v>
      </c>
      <c r="BM44" s="260" t="str">
        <f t="shared" si="104"/>
        <v>0.0%</v>
      </c>
    </row>
    <row r="45" spans="1:65" s="233" customFormat="1" ht="12" x14ac:dyDescent="0.2">
      <c r="A45" s="245"/>
      <c r="B45" s="386"/>
      <c r="C45" s="387">
        <f t="shared" si="71"/>
        <v>0</v>
      </c>
      <c r="D45" s="386"/>
      <c r="E45" s="260" t="str">
        <f t="shared" si="54"/>
        <v>0.0%</v>
      </c>
      <c r="F45" s="261" t="str">
        <f t="shared" si="72"/>
        <v>0.0%</v>
      </c>
      <c r="G45" s="386"/>
      <c r="H45" s="260" t="str">
        <f t="shared" si="73"/>
        <v>0.0%</v>
      </c>
      <c r="I45" s="261" t="str">
        <f t="shared" si="74"/>
        <v>0.0%</v>
      </c>
      <c r="J45" s="386"/>
      <c r="K45" s="303" t="str">
        <f t="shared" si="55"/>
        <v>0.0%</v>
      </c>
      <c r="L45" s="282" t="str">
        <f t="shared" si="56"/>
        <v>0.0%</v>
      </c>
      <c r="M45" s="391">
        <f t="shared" si="75"/>
        <v>0</v>
      </c>
      <c r="N45" s="303" t="str">
        <f t="shared" si="76"/>
        <v>0.0%</v>
      </c>
      <c r="O45" s="283" t="str">
        <f t="shared" si="77"/>
        <v>0.0%</v>
      </c>
      <c r="P45" s="386"/>
      <c r="Q45" s="260" t="str">
        <f t="shared" si="78"/>
        <v>0.0%</v>
      </c>
      <c r="R45" s="261" t="str">
        <f t="shared" si="79"/>
        <v>0.0%</v>
      </c>
      <c r="S45" s="386"/>
      <c r="T45" s="260" t="str">
        <f t="shared" si="57"/>
        <v>0.0%</v>
      </c>
      <c r="U45" s="307" t="str">
        <f t="shared" si="58"/>
        <v>0.0%</v>
      </c>
      <c r="V45" s="386"/>
      <c r="W45" s="260" t="str">
        <f t="shared" si="80"/>
        <v>0.0%</v>
      </c>
      <c r="X45" s="307" t="str">
        <f t="shared" si="81"/>
        <v>0.0%</v>
      </c>
      <c r="Y45" s="391">
        <f t="shared" si="82"/>
        <v>0</v>
      </c>
      <c r="Z45" s="260" t="str">
        <f t="shared" si="83"/>
        <v>0.0%</v>
      </c>
      <c r="AA45" s="307" t="str">
        <f t="shared" si="84"/>
        <v>0.0%</v>
      </c>
      <c r="AB45" s="386"/>
      <c r="AC45" s="260" t="str">
        <f t="shared" si="59"/>
        <v>0.0%</v>
      </c>
      <c r="AD45" s="307" t="str">
        <f t="shared" si="60"/>
        <v>0.0%</v>
      </c>
      <c r="AE45" s="386"/>
      <c r="AF45" s="260" t="str">
        <f t="shared" si="61"/>
        <v>0.0%</v>
      </c>
      <c r="AG45" s="307" t="str">
        <f t="shared" si="62"/>
        <v>0.0%</v>
      </c>
      <c r="AH45" s="386"/>
      <c r="AI45" s="260" t="str">
        <f t="shared" si="85"/>
        <v>0.0%</v>
      </c>
      <c r="AJ45" s="261" t="str">
        <f t="shared" si="86"/>
        <v>0.0%</v>
      </c>
      <c r="AK45" s="391">
        <f t="shared" si="87"/>
        <v>0</v>
      </c>
      <c r="AL45" s="260" t="str">
        <f t="shared" si="63"/>
        <v>0.0%</v>
      </c>
      <c r="AM45" s="307" t="str">
        <f t="shared" si="64"/>
        <v>0.0%</v>
      </c>
      <c r="AN45" s="390"/>
      <c r="AO45" s="260" t="str">
        <f t="shared" si="88"/>
        <v>0.0%</v>
      </c>
      <c r="AP45" s="307" t="str">
        <f t="shared" si="89"/>
        <v>0.0%</v>
      </c>
      <c r="AQ45" s="386"/>
      <c r="AR45" s="260" t="str">
        <f t="shared" si="65"/>
        <v>0.0%</v>
      </c>
      <c r="AS45" s="307" t="str">
        <f t="shared" si="66"/>
        <v>0.0%</v>
      </c>
      <c r="AT45" s="386"/>
      <c r="AU45" s="260" t="str">
        <f t="shared" si="90"/>
        <v>0.0%</v>
      </c>
      <c r="AV45" s="307" t="str">
        <f t="shared" si="91"/>
        <v>0.0%</v>
      </c>
      <c r="AW45" s="391">
        <f t="shared" si="92"/>
        <v>0</v>
      </c>
      <c r="AX45" s="260" t="str">
        <f t="shared" si="67"/>
        <v>0.0%</v>
      </c>
      <c r="AY45" s="307" t="str">
        <f t="shared" si="68"/>
        <v>0.0%</v>
      </c>
      <c r="AZ45" s="391">
        <f t="shared" si="93"/>
        <v>0</v>
      </c>
      <c r="BA45" s="260" t="str">
        <f t="shared" si="69"/>
        <v>0.0%</v>
      </c>
      <c r="BB45" s="261" t="str">
        <f t="shared" si="70"/>
        <v>0.0%</v>
      </c>
      <c r="BC45" s="391">
        <f t="shared" si="94"/>
        <v>0</v>
      </c>
      <c r="BD45" s="260" t="str">
        <f t="shared" si="95"/>
        <v>0.0%</v>
      </c>
      <c r="BE45" s="261" t="str">
        <f t="shared" si="96"/>
        <v>0.0%</v>
      </c>
      <c r="BF45" s="391">
        <f t="shared" si="97"/>
        <v>0</v>
      </c>
      <c r="BG45" s="260" t="str">
        <f t="shared" si="98"/>
        <v>0.0%</v>
      </c>
      <c r="BH45" s="261" t="str">
        <f t="shared" si="99"/>
        <v>0.0%</v>
      </c>
      <c r="BI45" s="391">
        <f t="shared" si="100"/>
        <v>0</v>
      </c>
      <c r="BJ45" s="260" t="str">
        <f t="shared" si="101"/>
        <v>0.0%</v>
      </c>
      <c r="BK45" s="261" t="str">
        <f t="shared" si="102"/>
        <v>0.0%</v>
      </c>
      <c r="BL45" s="391">
        <f t="shared" si="103"/>
        <v>0</v>
      </c>
      <c r="BM45" s="260" t="str">
        <f t="shared" si="104"/>
        <v>0.0%</v>
      </c>
    </row>
    <row r="46" spans="1:65" s="233" customFormat="1" ht="12" x14ac:dyDescent="0.2">
      <c r="A46" s="242" t="s">
        <v>44</v>
      </c>
      <c r="B46" s="386"/>
      <c r="C46" s="387">
        <f t="shared" si="71"/>
        <v>0</v>
      </c>
      <c r="D46" s="386"/>
      <c r="E46" s="260" t="str">
        <f t="shared" si="54"/>
        <v>0.0%</v>
      </c>
      <c r="F46" s="261" t="str">
        <f t="shared" si="72"/>
        <v>0.0%</v>
      </c>
      <c r="G46" s="386"/>
      <c r="H46" s="260" t="str">
        <f t="shared" si="73"/>
        <v>0.0%</v>
      </c>
      <c r="I46" s="261" t="str">
        <f t="shared" si="74"/>
        <v>0.0%</v>
      </c>
      <c r="J46" s="386"/>
      <c r="K46" s="303" t="str">
        <f t="shared" si="55"/>
        <v>0.0%</v>
      </c>
      <c r="L46" s="282" t="str">
        <f t="shared" si="56"/>
        <v>0.0%</v>
      </c>
      <c r="M46" s="391">
        <f t="shared" si="75"/>
        <v>0</v>
      </c>
      <c r="N46" s="303" t="str">
        <f t="shared" si="76"/>
        <v>0.0%</v>
      </c>
      <c r="O46" s="283" t="str">
        <f t="shared" si="77"/>
        <v>0.0%</v>
      </c>
      <c r="P46" s="386"/>
      <c r="Q46" s="260" t="str">
        <f t="shared" si="78"/>
        <v>0.0%</v>
      </c>
      <c r="R46" s="261" t="str">
        <f t="shared" si="79"/>
        <v>0.0%</v>
      </c>
      <c r="S46" s="386"/>
      <c r="T46" s="260" t="str">
        <f t="shared" si="57"/>
        <v>0.0%</v>
      </c>
      <c r="U46" s="307" t="str">
        <f t="shared" si="58"/>
        <v>0.0%</v>
      </c>
      <c r="V46" s="386"/>
      <c r="W46" s="260" t="str">
        <f t="shared" si="80"/>
        <v>0.0%</v>
      </c>
      <c r="X46" s="307" t="str">
        <f t="shared" si="81"/>
        <v>0.0%</v>
      </c>
      <c r="Y46" s="391">
        <f t="shared" si="82"/>
        <v>0</v>
      </c>
      <c r="Z46" s="260" t="str">
        <f t="shared" si="83"/>
        <v>0.0%</v>
      </c>
      <c r="AA46" s="307" t="str">
        <f t="shared" si="84"/>
        <v>0.0%</v>
      </c>
      <c r="AB46" s="386"/>
      <c r="AC46" s="260" t="str">
        <f t="shared" si="59"/>
        <v>0.0%</v>
      </c>
      <c r="AD46" s="307" t="str">
        <f t="shared" si="60"/>
        <v>0.0%</v>
      </c>
      <c r="AE46" s="386"/>
      <c r="AF46" s="260" t="str">
        <f t="shared" si="61"/>
        <v>0.0%</v>
      </c>
      <c r="AG46" s="307" t="str">
        <f t="shared" si="62"/>
        <v>0.0%</v>
      </c>
      <c r="AH46" s="386"/>
      <c r="AI46" s="260" t="str">
        <f t="shared" si="85"/>
        <v>0.0%</v>
      </c>
      <c r="AJ46" s="261" t="str">
        <f t="shared" si="86"/>
        <v>0.0%</v>
      </c>
      <c r="AK46" s="391">
        <f t="shared" si="87"/>
        <v>0</v>
      </c>
      <c r="AL46" s="260" t="str">
        <f t="shared" si="63"/>
        <v>0.0%</v>
      </c>
      <c r="AM46" s="307" t="str">
        <f t="shared" si="64"/>
        <v>0.0%</v>
      </c>
      <c r="AN46" s="390"/>
      <c r="AO46" s="260" t="str">
        <f t="shared" si="88"/>
        <v>0.0%</v>
      </c>
      <c r="AP46" s="307" t="str">
        <f t="shared" si="89"/>
        <v>0.0%</v>
      </c>
      <c r="AQ46" s="386"/>
      <c r="AR46" s="260" t="str">
        <f t="shared" si="65"/>
        <v>0.0%</v>
      </c>
      <c r="AS46" s="307" t="str">
        <f t="shared" si="66"/>
        <v>0.0%</v>
      </c>
      <c r="AT46" s="386"/>
      <c r="AU46" s="260" t="str">
        <f t="shared" si="90"/>
        <v>0.0%</v>
      </c>
      <c r="AV46" s="307" t="str">
        <f t="shared" si="91"/>
        <v>0.0%</v>
      </c>
      <c r="AW46" s="391">
        <f t="shared" si="92"/>
        <v>0</v>
      </c>
      <c r="AX46" s="260" t="str">
        <f t="shared" si="67"/>
        <v>0.0%</v>
      </c>
      <c r="AY46" s="307" t="str">
        <f t="shared" si="68"/>
        <v>0.0%</v>
      </c>
      <c r="AZ46" s="391">
        <f t="shared" si="93"/>
        <v>0</v>
      </c>
      <c r="BA46" s="260" t="str">
        <f t="shared" si="69"/>
        <v>0.0%</v>
      </c>
      <c r="BB46" s="261" t="str">
        <f t="shared" si="70"/>
        <v>0.0%</v>
      </c>
      <c r="BC46" s="391">
        <f t="shared" si="94"/>
        <v>0</v>
      </c>
      <c r="BD46" s="260" t="str">
        <f t="shared" si="95"/>
        <v>0.0%</v>
      </c>
      <c r="BE46" s="261" t="str">
        <f t="shared" si="96"/>
        <v>0.0%</v>
      </c>
      <c r="BF46" s="391">
        <f t="shared" si="97"/>
        <v>0</v>
      </c>
      <c r="BG46" s="260" t="str">
        <f t="shared" si="98"/>
        <v>0.0%</v>
      </c>
      <c r="BH46" s="261" t="str">
        <f t="shared" si="99"/>
        <v>0.0%</v>
      </c>
      <c r="BI46" s="391">
        <f t="shared" si="100"/>
        <v>0</v>
      </c>
      <c r="BJ46" s="260" t="str">
        <f t="shared" si="101"/>
        <v>0.0%</v>
      </c>
      <c r="BK46" s="261" t="str">
        <f t="shared" si="102"/>
        <v>0.0%</v>
      </c>
      <c r="BL46" s="391">
        <f t="shared" si="103"/>
        <v>0</v>
      </c>
      <c r="BM46" s="260" t="str">
        <f t="shared" si="104"/>
        <v>0.0%</v>
      </c>
    </row>
    <row r="47" spans="1:65" s="233" customFormat="1" ht="12" x14ac:dyDescent="0.2">
      <c r="A47" s="245" t="s">
        <v>45</v>
      </c>
      <c r="B47" s="386"/>
      <c r="C47" s="387">
        <f t="shared" si="71"/>
        <v>0</v>
      </c>
      <c r="D47" s="386"/>
      <c r="E47" s="260" t="str">
        <f t="shared" si="54"/>
        <v>0.0%</v>
      </c>
      <c r="F47" s="261" t="str">
        <f t="shared" si="72"/>
        <v>0.0%</v>
      </c>
      <c r="G47" s="386"/>
      <c r="H47" s="260" t="str">
        <f t="shared" si="73"/>
        <v>0.0%</v>
      </c>
      <c r="I47" s="261" t="str">
        <f t="shared" si="74"/>
        <v>0.0%</v>
      </c>
      <c r="J47" s="386"/>
      <c r="K47" s="303" t="str">
        <f t="shared" si="55"/>
        <v>0.0%</v>
      </c>
      <c r="L47" s="282" t="str">
        <f t="shared" si="56"/>
        <v>0.0%</v>
      </c>
      <c r="M47" s="391">
        <f t="shared" si="75"/>
        <v>0</v>
      </c>
      <c r="N47" s="303" t="str">
        <f t="shared" si="76"/>
        <v>0.0%</v>
      </c>
      <c r="O47" s="283" t="str">
        <f t="shared" si="77"/>
        <v>0.0%</v>
      </c>
      <c r="P47" s="386"/>
      <c r="Q47" s="260" t="str">
        <f t="shared" si="78"/>
        <v>0.0%</v>
      </c>
      <c r="R47" s="261" t="str">
        <f t="shared" si="79"/>
        <v>0.0%</v>
      </c>
      <c r="S47" s="386"/>
      <c r="T47" s="260" t="str">
        <f t="shared" si="57"/>
        <v>0.0%</v>
      </c>
      <c r="U47" s="307" t="str">
        <f t="shared" si="58"/>
        <v>0.0%</v>
      </c>
      <c r="V47" s="386"/>
      <c r="W47" s="260" t="str">
        <f t="shared" si="80"/>
        <v>0.0%</v>
      </c>
      <c r="X47" s="307" t="str">
        <f t="shared" si="81"/>
        <v>0.0%</v>
      </c>
      <c r="Y47" s="391">
        <f t="shared" si="82"/>
        <v>0</v>
      </c>
      <c r="Z47" s="260" t="str">
        <f t="shared" si="83"/>
        <v>0.0%</v>
      </c>
      <c r="AA47" s="307" t="str">
        <f t="shared" si="84"/>
        <v>0.0%</v>
      </c>
      <c r="AB47" s="386"/>
      <c r="AC47" s="260" t="str">
        <f t="shared" si="59"/>
        <v>0.0%</v>
      </c>
      <c r="AD47" s="307" t="str">
        <f t="shared" si="60"/>
        <v>0.0%</v>
      </c>
      <c r="AE47" s="386"/>
      <c r="AF47" s="260" t="str">
        <f t="shared" si="61"/>
        <v>0.0%</v>
      </c>
      <c r="AG47" s="307" t="str">
        <f t="shared" si="62"/>
        <v>0.0%</v>
      </c>
      <c r="AH47" s="386"/>
      <c r="AI47" s="260" t="str">
        <f t="shared" si="85"/>
        <v>0.0%</v>
      </c>
      <c r="AJ47" s="261" t="str">
        <f t="shared" si="86"/>
        <v>0.0%</v>
      </c>
      <c r="AK47" s="391">
        <f t="shared" si="87"/>
        <v>0</v>
      </c>
      <c r="AL47" s="260" t="str">
        <f t="shared" si="63"/>
        <v>0.0%</v>
      </c>
      <c r="AM47" s="307" t="str">
        <f t="shared" si="64"/>
        <v>0.0%</v>
      </c>
      <c r="AN47" s="390"/>
      <c r="AO47" s="260" t="str">
        <f t="shared" si="88"/>
        <v>0.0%</v>
      </c>
      <c r="AP47" s="307" t="str">
        <f t="shared" si="89"/>
        <v>0.0%</v>
      </c>
      <c r="AQ47" s="386"/>
      <c r="AR47" s="260" t="str">
        <f t="shared" si="65"/>
        <v>0.0%</v>
      </c>
      <c r="AS47" s="307" t="str">
        <f t="shared" si="66"/>
        <v>0.0%</v>
      </c>
      <c r="AT47" s="386"/>
      <c r="AU47" s="260" t="str">
        <f t="shared" si="90"/>
        <v>0.0%</v>
      </c>
      <c r="AV47" s="307" t="str">
        <f t="shared" si="91"/>
        <v>0.0%</v>
      </c>
      <c r="AW47" s="391">
        <f t="shared" si="92"/>
        <v>0</v>
      </c>
      <c r="AX47" s="260" t="str">
        <f t="shared" si="67"/>
        <v>0.0%</v>
      </c>
      <c r="AY47" s="307" t="str">
        <f t="shared" si="68"/>
        <v>0.0%</v>
      </c>
      <c r="AZ47" s="391">
        <f t="shared" si="93"/>
        <v>0</v>
      </c>
      <c r="BA47" s="260" t="str">
        <f t="shared" si="69"/>
        <v>0.0%</v>
      </c>
      <c r="BB47" s="261" t="str">
        <f t="shared" si="70"/>
        <v>0.0%</v>
      </c>
      <c r="BC47" s="391">
        <f t="shared" si="94"/>
        <v>0</v>
      </c>
      <c r="BD47" s="260" t="str">
        <f t="shared" si="95"/>
        <v>0.0%</v>
      </c>
      <c r="BE47" s="261" t="str">
        <f t="shared" si="96"/>
        <v>0.0%</v>
      </c>
      <c r="BF47" s="391">
        <f t="shared" si="97"/>
        <v>0</v>
      </c>
      <c r="BG47" s="260" t="str">
        <f t="shared" si="98"/>
        <v>0.0%</v>
      </c>
      <c r="BH47" s="261" t="str">
        <f t="shared" si="99"/>
        <v>0.0%</v>
      </c>
      <c r="BI47" s="391">
        <f t="shared" si="100"/>
        <v>0</v>
      </c>
      <c r="BJ47" s="260" t="str">
        <f t="shared" si="101"/>
        <v>0.0%</v>
      </c>
      <c r="BK47" s="261" t="str">
        <f t="shared" si="102"/>
        <v>0.0%</v>
      </c>
      <c r="BL47" s="391">
        <f t="shared" si="103"/>
        <v>0</v>
      </c>
      <c r="BM47" s="260" t="str">
        <f t="shared" si="104"/>
        <v>0.0%</v>
      </c>
    </row>
    <row r="48" spans="1:65" s="233" customFormat="1" ht="24" x14ac:dyDescent="0.2">
      <c r="A48" s="242" t="s">
        <v>434</v>
      </c>
      <c r="B48" s="386"/>
      <c r="C48" s="387">
        <f t="shared" si="71"/>
        <v>0</v>
      </c>
      <c r="D48" s="386"/>
      <c r="E48" s="260" t="str">
        <f t="shared" si="54"/>
        <v>0.0%</v>
      </c>
      <c r="F48" s="261" t="str">
        <f t="shared" si="72"/>
        <v>0.0%</v>
      </c>
      <c r="G48" s="386"/>
      <c r="H48" s="260" t="str">
        <f t="shared" si="73"/>
        <v>0.0%</v>
      </c>
      <c r="I48" s="261" t="str">
        <f t="shared" si="74"/>
        <v>0.0%</v>
      </c>
      <c r="J48" s="386"/>
      <c r="K48" s="303" t="str">
        <f t="shared" si="55"/>
        <v>0.0%</v>
      </c>
      <c r="L48" s="282" t="str">
        <f t="shared" si="56"/>
        <v>0.0%</v>
      </c>
      <c r="M48" s="391">
        <f t="shared" si="75"/>
        <v>0</v>
      </c>
      <c r="N48" s="303" t="str">
        <f t="shared" si="76"/>
        <v>0.0%</v>
      </c>
      <c r="O48" s="283" t="str">
        <f t="shared" si="77"/>
        <v>0.0%</v>
      </c>
      <c r="P48" s="386"/>
      <c r="Q48" s="260" t="str">
        <f t="shared" si="78"/>
        <v>0.0%</v>
      </c>
      <c r="R48" s="261" t="str">
        <f t="shared" si="79"/>
        <v>0.0%</v>
      </c>
      <c r="S48" s="386"/>
      <c r="T48" s="260" t="str">
        <f t="shared" si="57"/>
        <v>0.0%</v>
      </c>
      <c r="U48" s="307" t="str">
        <f t="shared" si="58"/>
        <v>0.0%</v>
      </c>
      <c r="V48" s="386"/>
      <c r="W48" s="260" t="str">
        <f t="shared" si="80"/>
        <v>0.0%</v>
      </c>
      <c r="X48" s="307" t="str">
        <f t="shared" si="81"/>
        <v>0.0%</v>
      </c>
      <c r="Y48" s="391">
        <f t="shared" si="82"/>
        <v>0</v>
      </c>
      <c r="Z48" s="260" t="str">
        <f t="shared" si="83"/>
        <v>0.0%</v>
      </c>
      <c r="AA48" s="307" t="str">
        <f t="shared" si="84"/>
        <v>0.0%</v>
      </c>
      <c r="AB48" s="386"/>
      <c r="AC48" s="260" t="str">
        <f t="shared" si="59"/>
        <v>0.0%</v>
      </c>
      <c r="AD48" s="307" t="str">
        <f t="shared" si="60"/>
        <v>0.0%</v>
      </c>
      <c r="AE48" s="386"/>
      <c r="AF48" s="260" t="str">
        <f t="shared" si="61"/>
        <v>0.0%</v>
      </c>
      <c r="AG48" s="307" t="str">
        <f t="shared" si="62"/>
        <v>0.0%</v>
      </c>
      <c r="AH48" s="386"/>
      <c r="AI48" s="260" t="str">
        <f t="shared" si="85"/>
        <v>0.0%</v>
      </c>
      <c r="AJ48" s="261" t="str">
        <f t="shared" si="86"/>
        <v>0.0%</v>
      </c>
      <c r="AK48" s="391">
        <f t="shared" si="87"/>
        <v>0</v>
      </c>
      <c r="AL48" s="260" t="str">
        <f t="shared" si="63"/>
        <v>0.0%</v>
      </c>
      <c r="AM48" s="307" t="str">
        <f t="shared" si="64"/>
        <v>0.0%</v>
      </c>
      <c r="AN48" s="390"/>
      <c r="AO48" s="260" t="str">
        <f t="shared" si="88"/>
        <v>0.0%</v>
      </c>
      <c r="AP48" s="307" t="str">
        <f t="shared" si="89"/>
        <v>0.0%</v>
      </c>
      <c r="AQ48" s="386"/>
      <c r="AR48" s="260" t="str">
        <f t="shared" si="65"/>
        <v>0.0%</v>
      </c>
      <c r="AS48" s="307" t="str">
        <f t="shared" si="66"/>
        <v>0.0%</v>
      </c>
      <c r="AT48" s="386"/>
      <c r="AU48" s="260" t="str">
        <f t="shared" si="90"/>
        <v>0.0%</v>
      </c>
      <c r="AV48" s="307" t="str">
        <f t="shared" si="91"/>
        <v>0.0%</v>
      </c>
      <c r="AW48" s="391">
        <f t="shared" si="92"/>
        <v>0</v>
      </c>
      <c r="AX48" s="260" t="str">
        <f t="shared" si="67"/>
        <v>0.0%</v>
      </c>
      <c r="AY48" s="307" t="str">
        <f t="shared" si="68"/>
        <v>0.0%</v>
      </c>
      <c r="AZ48" s="391">
        <f t="shared" si="93"/>
        <v>0</v>
      </c>
      <c r="BA48" s="260" t="str">
        <f t="shared" si="69"/>
        <v>0.0%</v>
      </c>
      <c r="BB48" s="261" t="str">
        <f t="shared" si="70"/>
        <v>0.0%</v>
      </c>
      <c r="BC48" s="391">
        <f t="shared" si="94"/>
        <v>0</v>
      </c>
      <c r="BD48" s="260" t="str">
        <f t="shared" si="95"/>
        <v>0.0%</v>
      </c>
      <c r="BE48" s="261" t="str">
        <f t="shared" si="96"/>
        <v>0.0%</v>
      </c>
      <c r="BF48" s="391">
        <f t="shared" si="97"/>
        <v>0</v>
      </c>
      <c r="BG48" s="260" t="str">
        <f t="shared" si="98"/>
        <v>0.0%</v>
      </c>
      <c r="BH48" s="261" t="str">
        <f t="shared" si="99"/>
        <v>0.0%</v>
      </c>
      <c r="BI48" s="391">
        <f t="shared" si="100"/>
        <v>0</v>
      </c>
      <c r="BJ48" s="260" t="str">
        <f t="shared" si="101"/>
        <v>0.0%</v>
      </c>
      <c r="BK48" s="261" t="str">
        <f t="shared" si="102"/>
        <v>0.0%</v>
      </c>
      <c r="BL48" s="391">
        <f t="shared" si="103"/>
        <v>0</v>
      </c>
      <c r="BM48" s="260" t="str">
        <f t="shared" si="104"/>
        <v>0.0%</v>
      </c>
    </row>
    <row r="49" spans="1:65" s="233" customFormat="1" ht="12" x14ac:dyDescent="0.2">
      <c r="A49" s="245"/>
      <c r="B49" s="386"/>
      <c r="C49" s="387">
        <f t="shared" si="71"/>
        <v>0</v>
      </c>
      <c r="D49" s="386"/>
      <c r="E49" s="260" t="str">
        <f t="shared" si="54"/>
        <v>0.0%</v>
      </c>
      <c r="F49" s="261" t="str">
        <f t="shared" si="72"/>
        <v>0.0%</v>
      </c>
      <c r="G49" s="386"/>
      <c r="H49" s="260" t="str">
        <f t="shared" si="73"/>
        <v>0.0%</v>
      </c>
      <c r="I49" s="261" t="str">
        <f t="shared" si="74"/>
        <v>0.0%</v>
      </c>
      <c r="J49" s="386"/>
      <c r="K49" s="303" t="str">
        <f t="shared" si="55"/>
        <v>0.0%</v>
      </c>
      <c r="L49" s="282" t="str">
        <f t="shared" si="56"/>
        <v>0.0%</v>
      </c>
      <c r="M49" s="391">
        <f t="shared" si="75"/>
        <v>0</v>
      </c>
      <c r="N49" s="303" t="str">
        <f t="shared" si="76"/>
        <v>0.0%</v>
      </c>
      <c r="O49" s="283" t="str">
        <f t="shared" si="77"/>
        <v>0.0%</v>
      </c>
      <c r="P49" s="386"/>
      <c r="Q49" s="260" t="str">
        <f t="shared" si="78"/>
        <v>0.0%</v>
      </c>
      <c r="R49" s="261" t="str">
        <f t="shared" si="79"/>
        <v>0.0%</v>
      </c>
      <c r="S49" s="386"/>
      <c r="T49" s="260" t="str">
        <f t="shared" si="57"/>
        <v>0.0%</v>
      </c>
      <c r="U49" s="307" t="str">
        <f t="shared" si="58"/>
        <v>0.0%</v>
      </c>
      <c r="V49" s="386"/>
      <c r="W49" s="260" t="str">
        <f t="shared" si="80"/>
        <v>0.0%</v>
      </c>
      <c r="X49" s="307" t="str">
        <f t="shared" si="81"/>
        <v>0.0%</v>
      </c>
      <c r="Y49" s="391">
        <f t="shared" si="82"/>
        <v>0</v>
      </c>
      <c r="Z49" s="260" t="str">
        <f t="shared" si="83"/>
        <v>0.0%</v>
      </c>
      <c r="AA49" s="307" t="str">
        <f t="shared" si="84"/>
        <v>0.0%</v>
      </c>
      <c r="AB49" s="386"/>
      <c r="AC49" s="260" t="str">
        <f t="shared" si="59"/>
        <v>0.0%</v>
      </c>
      <c r="AD49" s="307" t="str">
        <f t="shared" si="60"/>
        <v>0.0%</v>
      </c>
      <c r="AE49" s="386"/>
      <c r="AF49" s="260" t="str">
        <f t="shared" si="61"/>
        <v>0.0%</v>
      </c>
      <c r="AG49" s="307" t="str">
        <f t="shared" si="62"/>
        <v>0.0%</v>
      </c>
      <c r="AH49" s="386"/>
      <c r="AI49" s="260" t="str">
        <f t="shared" si="85"/>
        <v>0.0%</v>
      </c>
      <c r="AJ49" s="261" t="str">
        <f t="shared" si="86"/>
        <v>0.0%</v>
      </c>
      <c r="AK49" s="391">
        <f t="shared" si="87"/>
        <v>0</v>
      </c>
      <c r="AL49" s="260" t="str">
        <f t="shared" si="63"/>
        <v>0.0%</v>
      </c>
      <c r="AM49" s="307" t="str">
        <f t="shared" si="64"/>
        <v>0.0%</v>
      </c>
      <c r="AN49" s="390"/>
      <c r="AO49" s="260" t="str">
        <f t="shared" si="88"/>
        <v>0.0%</v>
      </c>
      <c r="AP49" s="307" t="str">
        <f t="shared" si="89"/>
        <v>0.0%</v>
      </c>
      <c r="AQ49" s="386"/>
      <c r="AR49" s="260" t="str">
        <f t="shared" si="65"/>
        <v>0.0%</v>
      </c>
      <c r="AS49" s="307" t="str">
        <f t="shared" si="66"/>
        <v>0.0%</v>
      </c>
      <c r="AT49" s="386"/>
      <c r="AU49" s="260" t="str">
        <f t="shared" si="90"/>
        <v>0.0%</v>
      </c>
      <c r="AV49" s="307" t="str">
        <f t="shared" si="91"/>
        <v>0.0%</v>
      </c>
      <c r="AW49" s="391">
        <f t="shared" si="92"/>
        <v>0</v>
      </c>
      <c r="AX49" s="260" t="str">
        <f t="shared" si="67"/>
        <v>0.0%</v>
      </c>
      <c r="AY49" s="307" t="str">
        <f t="shared" si="68"/>
        <v>0.0%</v>
      </c>
      <c r="AZ49" s="391">
        <f t="shared" si="93"/>
        <v>0</v>
      </c>
      <c r="BA49" s="260" t="str">
        <f t="shared" si="69"/>
        <v>0.0%</v>
      </c>
      <c r="BB49" s="261" t="str">
        <f t="shared" si="70"/>
        <v>0.0%</v>
      </c>
      <c r="BC49" s="391">
        <f t="shared" si="94"/>
        <v>0</v>
      </c>
      <c r="BD49" s="260" t="str">
        <f t="shared" si="95"/>
        <v>0.0%</v>
      </c>
      <c r="BE49" s="261" t="str">
        <f t="shared" si="96"/>
        <v>0.0%</v>
      </c>
      <c r="BF49" s="391">
        <f t="shared" si="97"/>
        <v>0</v>
      </c>
      <c r="BG49" s="260" t="str">
        <f t="shared" si="98"/>
        <v>0.0%</v>
      </c>
      <c r="BH49" s="261" t="str">
        <f t="shared" si="99"/>
        <v>0.0%</v>
      </c>
      <c r="BI49" s="391">
        <f t="shared" si="100"/>
        <v>0</v>
      </c>
      <c r="BJ49" s="260" t="str">
        <f t="shared" si="101"/>
        <v>0.0%</v>
      </c>
      <c r="BK49" s="261" t="str">
        <f t="shared" si="102"/>
        <v>0.0%</v>
      </c>
      <c r="BL49" s="391">
        <f t="shared" si="103"/>
        <v>0</v>
      </c>
      <c r="BM49" s="260" t="str">
        <f t="shared" si="104"/>
        <v>0.0%</v>
      </c>
    </row>
    <row r="50" spans="1:65" s="233" customFormat="1" ht="12" x14ac:dyDescent="0.2">
      <c r="A50" s="242"/>
      <c r="B50" s="386"/>
      <c r="C50" s="387">
        <f t="shared" si="71"/>
        <v>0</v>
      </c>
      <c r="D50" s="386"/>
      <c r="E50" s="260" t="str">
        <f t="shared" si="54"/>
        <v>0.0%</v>
      </c>
      <c r="F50" s="261" t="str">
        <f t="shared" si="72"/>
        <v>0.0%</v>
      </c>
      <c r="G50" s="386"/>
      <c r="H50" s="260" t="str">
        <f t="shared" si="73"/>
        <v>0.0%</v>
      </c>
      <c r="I50" s="261" t="str">
        <f t="shared" si="74"/>
        <v>0.0%</v>
      </c>
      <c r="J50" s="386"/>
      <c r="K50" s="303" t="str">
        <f t="shared" si="55"/>
        <v>0.0%</v>
      </c>
      <c r="L50" s="282" t="str">
        <f t="shared" si="56"/>
        <v>0.0%</v>
      </c>
      <c r="M50" s="391">
        <f t="shared" si="75"/>
        <v>0</v>
      </c>
      <c r="N50" s="303" t="str">
        <f t="shared" si="76"/>
        <v>0.0%</v>
      </c>
      <c r="O50" s="283" t="str">
        <f t="shared" si="77"/>
        <v>0.0%</v>
      </c>
      <c r="P50" s="386"/>
      <c r="Q50" s="260" t="str">
        <f t="shared" si="78"/>
        <v>0.0%</v>
      </c>
      <c r="R50" s="261" t="str">
        <f t="shared" si="79"/>
        <v>0.0%</v>
      </c>
      <c r="S50" s="386"/>
      <c r="T50" s="260" t="str">
        <f t="shared" si="57"/>
        <v>0.0%</v>
      </c>
      <c r="U50" s="307" t="str">
        <f t="shared" si="58"/>
        <v>0.0%</v>
      </c>
      <c r="V50" s="386"/>
      <c r="W50" s="260" t="str">
        <f t="shared" si="80"/>
        <v>0.0%</v>
      </c>
      <c r="X50" s="307" t="str">
        <f t="shared" si="81"/>
        <v>0.0%</v>
      </c>
      <c r="Y50" s="391">
        <f t="shared" si="82"/>
        <v>0</v>
      </c>
      <c r="Z50" s="260" t="str">
        <f t="shared" si="83"/>
        <v>0.0%</v>
      </c>
      <c r="AA50" s="307" t="str">
        <f t="shared" si="84"/>
        <v>0.0%</v>
      </c>
      <c r="AB50" s="386"/>
      <c r="AC50" s="260" t="str">
        <f t="shared" si="59"/>
        <v>0.0%</v>
      </c>
      <c r="AD50" s="307" t="str">
        <f t="shared" si="60"/>
        <v>0.0%</v>
      </c>
      <c r="AE50" s="386"/>
      <c r="AF50" s="260" t="str">
        <f t="shared" si="61"/>
        <v>0.0%</v>
      </c>
      <c r="AG50" s="307" t="str">
        <f t="shared" si="62"/>
        <v>0.0%</v>
      </c>
      <c r="AH50" s="386"/>
      <c r="AI50" s="260" t="str">
        <f t="shared" si="85"/>
        <v>0.0%</v>
      </c>
      <c r="AJ50" s="261" t="str">
        <f t="shared" si="86"/>
        <v>0.0%</v>
      </c>
      <c r="AK50" s="391">
        <f t="shared" si="87"/>
        <v>0</v>
      </c>
      <c r="AL50" s="260" t="str">
        <f t="shared" si="63"/>
        <v>0.0%</v>
      </c>
      <c r="AM50" s="307" t="str">
        <f t="shared" si="64"/>
        <v>0.0%</v>
      </c>
      <c r="AN50" s="390"/>
      <c r="AO50" s="260" t="str">
        <f t="shared" si="88"/>
        <v>0.0%</v>
      </c>
      <c r="AP50" s="307" t="str">
        <f t="shared" si="89"/>
        <v>0.0%</v>
      </c>
      <c r="AQ50" s="386"/>
      <c r="AR50" s="260" t="str">
        <f t="shared" si="65"/>
        <v>0.0%</v>
      </c>
      <c r="AS50" s="307" t="str">
        <f t="shared" si="66"/>
        <v>0.0%</v>
      </c>
      <c r="AT50" s="386"/>
      <c r="AU50" s="260" t="str">
        <f t="shared" si="90"/>
        <v>0.0%</v>
      </c>
      <c r="AV50" s="307" t="str">
        <f t="shared" si="91"/>
        <v>0.0%</v>
      </c>
      <c r="AW50" s="391">
        <f t="shared" si="92"/>
        <v>0</v>
      </c>
      <c r="AX50" s="260" t="str">
        <f t="shared" si="67"/>
        <v>0.0%</v>
      </c>
      <c r="AY50" s="307" t="str">
        <f t="shared" si="68"/>
        <v>0.0%</v>
      </c>
      <c r="AZ50" s="391">
        <f t="shared" si="93"/>
        <v>0</v>
      </c>
      <c r="BA50" s="260" t="str">
        <f t="shared" si="69"/>
        <v>0.0%</v>
      </c>
      <c r="BB50" s="261" t="str">
        <f t="shared" si="70"/>
        <v>0.0%</v>
      </c>
      <c r="BC50" s="391">
        <f t="shared" si="94"/>
        <v>0</v>
      </c>
      <c r="BD50" s="260" t="str">
        <f t="shared" si="95"/>
        <v>0.0%</v>
      </c>
      <c r="BE50" s="261" t="str">
        <f t="shared" si="96"/>
        <v>0.0%</v>
      </c>
      <c r="BF50" s="391">
        <f t="shared" si="97"/>
        <v>0</v>
      </c>
      <c r="BG50" s="260" t="str">
        <f t="shared" si="98"/>
        <v>0.0%</v>
      </c>
      <c r="BH50" s="261" t="str">
        <f t="shared" si="99"/>
        <v>0.0%</v>
      </c>
      <c r="BI50" s="391">
        <f t="shared" si="100"/>
        <v>0</v>
      </c>
      <c r="BJ50" s="260" t="str">
        <f t="shared" si="101"/>
        <v>0.0%</v>
      </c>
      <c r="BK50" s="261" t="str">
        <f t="shared" si="102"/>
        <v>0.0%</v>
      </c>
      <c r="BL50" s="391">
        <f t="shared" si="103"/>
        <v>0</v>
      </c>
      <c r="BM50" s="260" t="str">
        <f t="shared" si="104"/>
        <v>0.0%</v>
      </c>
    </row>
    <row r="51" spans="1:65" s="233" customFormat="1" ht="12" x14ac:dyDescent="0.2">
      <c r="A51" s="245"/>
      <c r="B51" s="386"/>
      <c r="C51" s="387">
        <f t="shared" si="71"/>
        <v>0</v>
      </c>
      <c r="D51" s="386"/>
      <c r="E51" s="260" t="str">
        <f t="shared" si="54"/>
        <v>0.0%</v>
      </c>
      <c r="F51" s="261" t="str">
        <f t="shared" si="72"/>
        <v>0.0%</v>
      </c>
      <c r="G51" s="386"/>
      <c r="H51" s="260" t="str">
        <f t="shared" si="73"/>
        <v>0.0%</v>
      </c>
      <c r="I51" s="261" t="str">
        <f t="shared" si="74"/>
        <v>0.0%</v>
      </c>
      <c r="J51" s="386"/>
      <c r="K51" s="303" t="str">
        <f t="shared" si="55"/>
        <v>0.0%</v>
      </c>
      <c r="L51" s="282" t="str">
        <f t="shared" si="56"/>
        <v>0.0%</v>
      </c>
      <c r="M51" s="391">
        <f t="shared" si="75"/>
        <v>0</v>
      </c>
      <c r="N51" s="303" t="str">
        <f t="shared" si="76"/>
        <v>0.0%</v>
      </c>
      <c r="O51" s="283" t="str">
        <f t="shared" si="77"/>
        <v>0.0%</v>
      </c>
      <c r="P51" s="386"/>
      <c r="Q51" s="260" t="str">
        <f t="shared" si="78"/>
        <v>0.0%</v>
      </c>
      <c r="R51" s="261" t="str">
        <f t="shared" si="79"/>
        <v>0.0%</v>
      </c>
      <c r="S51" s="386"/>
      <c r="T51" s="260" t="str">
        <f t="shared" si="57"/>
        <v>0.0%</v>
      </c>
      <c r="U51" s="307" t="str">
        <f t="shared" si="58"/>
        <v>0.0%</v>
      </c>
      <c r="V51" s="386"/>
      <c r="W51" s="260" t="str">
        <f t="shared" si="80"/>
        <v>0.0%</v>
      </c>
      <c r="X51" s="307" t="str">
        <f t="shared" si="81"/>
        <v>0.0%</v>
      </c>
      <c r="Y51" s="391">
        <f t="shared" si="82"/>
        <v>0</v>
      </c>
      <c r="Z51" s="260" t="str">
        <f t="shared" si="83"/>
        <v>0.0%</v>
      </c>
      <c r="AA51" s="307" t="str">
        <f t="shared" si="84"/>
        <v>0.0%</v>
      </c>
      <c r="AB51" s="386"/>
      <c r="AC51" s="260" t="str">
        <f t="shared" si="59"/>
        <v>0.0%</v>
      </c>
      <c r="AD51" s="307" t="str">
        <f t="shared" si="60"/>
        <v>0.0%</v>
      </c>
      <c r="AE51" s="386"/>
      <c r="AF51" s="260" t="str">
        <f t="shared" si="61"/>
        <v>0.0%</v>
      </c>
      <c r="AG51" s="307" t="str">
        <f t="shared" si="62"/>
        <v>0.0%</v>
      </c>
      <c r="AH51" s="386"/>
      <c r="AI51" s="260" t="str">
        <f t="shared" si="85"/>
        <v>0.0%</v>
      </c>
      <c r="AJ51" s="261" t="str">
        <f t="shared" si="86"/>
        <v>0.0%</v>
      </c>
      <c r="AK51" s="391">
        <f t="shared" si="87"/>
        <v>0</v>
      </c>
      <c r="AL51" s="260" t="str">
        <f t="shared" si="63"/>
        <v>0.0%</v>
      </c>
      <c r="AM51" s="307" t="str">
        <f t="shared" si="64"/>
        <v>0.0%</v>
      </c>
      <c r="AN51" s="390"/>
      <c r="AO51" s="260" t="str">
        <f t="shared" si="88"/>
        <v>0.0%</v>
      </c>
      <c r="AP51" s="307" t="str">
        <f t="shared" si="89"/>
        <v>0.0%</v>
      </c>
      <c r="AQ51" s="386"/>
      <c r="AR51" s="260" t="str">
        <f t="shared" si="65"/>
        <v>0.0%</v>
      </c>
      <c r="AS51" s="307" t="str">
        <f t="shared" si="66"/>
        <v>0.0%</v>
      </c>
      <c r="AT51" s="386"/>
      <c r="AU51" s="260" t="str">
        <f t="shared" si="90"/>
        <v>0.0%</v>
      </c>
      <c r="AV51" s="307" t="str">
        <f t="shared" si="91"/>
        <v>0.0%</v>
      </c>
      <c r="AW51" s="391">
        <f t="shared" si="92"/>
        <v>0</v>
      </c>
      <c r="AX51" s="260" t="str">
        <f t="shared" si="67"/>
        <v>0.0%</v>
      </c>
      <c r="AY51" s="307" t="str">
        <f t="shared" si="68"/>
        <v>0.0%</v>
      </c>
      <c r="AZ51" s="391">
        <f t="shared" si="93"/>
        <v>0</v>
      </c>
      <c r="BA51" s="260" t="str">
        <f t="shared" si="69"/>
        <v>0.0%</v>
      </c>
      <c r="BB51" s="261" t="str">
        <f t="shared" si="70"/>
        <v>0.0%</v>
      </c>
      <c r="BC51" s="391">
        <f t="shared" si="94"/>
        <v>0</v>
      </c>
      <c r="BD51" s="260" t="str">
        <f t="shared" si="95"/>
        <v>0.0%</v>
      </c>
      <c r="BE51" s="261" t="str">
        <f t="shared" si="96"/>
        <v>0.0%</v>
      </c>
      <c r="BF51" s="391">
        <f t="shared" si="97"/>
        <v>0</v>
      </c>
      <c r="BG51" s="260" t="str">
        <f t="shared" si="98"/>
        <v>0.0%</v>
      </c>
      <c r="BH51" s="261" t="str">
        <f t="shared" si="99"/>
        <v>0.0%</v>
      </c>
      <c r="BI51" s="391">
        <f t="shared" si="100"/>
        <v>0</v>
      </c>
      <c r="BJ51" s="260" t="str">
        <f t="shared" si="101"/>
        <v>0.0%</v>
      </c>
      <c r="BK51" s="261" t="str">
        <f t="shared" si="102"/>
        <v>0.0%</v>
      </c>
      <c r="BL51" s="391">
        <f t="shared" si="103"/>
        <v>0</v>
      </c>
      <c r="BM51" s="260" t="str">
        <f t="shared" si="104"/>
        <v>0.0%</v>
      </c>
    </row>
    <row r="52" spans="1:65" s="233" customFormat="1" ht="12" x14ac:dyDescent="0.2">
      <c r="A52" s="242"/>
      <c r="B52" s="386"/>
      <c r="C52" s="387">
        <f t="shared" si="71"/>
        <v>0</v>
      </c>
      <c r="D52" s="386"/>
      <c r="E52" s="260" t="str">
        <f t="shared" si="54"/>
        <v>0.0%</v>
      </c>
      <c r="F52" s="261" t="str">
        <f t="shared" si="72"/>
        <v>0.0%</v>
      </c>
      <c r="G52" s="386"/>
      <c r="H52" s="260" t="str">
        <f t="shared" si="73"/>
        <v>0.0%</v>
      </c>
      <c r="I52" s="261" t="str">
        <f t="shared" si="74"/>
        <v>0.0%</v>
      </c>
      <c r="J52" s="386"/>
      <c r="K52" s="303" t="str">
        <f t="shared" si="55"/>
        <v>0.0%</v>
      </c>
      <c r="L52" s="282" t="str">
        <f t="shared" si="56"/>
        <v>0.0%</v>
      </c>
      <c r="M52" s="391">
        <f t="shared" si="75"/>
        <v>0</v>
      </c>
      <c r="N52" s="303" t="str">
        <f t="shared" si="76"/>
        <v>0.0%</v>
      </c>
      <c r="O52" s="283" t="str">
        <f t="shared" si="77"/>
        <v>0.0%</v>
      </c>
      <c r="P52" s="386"/>
      <c r="Q52" s="260" t="str">
        <f t="shared" si="78"/>
        <v>0.0%</v>
      </c>
      <c r="R52" s="261" t="str">
        <f t="shared" si="79"/>
        <v>0.0%</v>
      </c>
      <c r="S52" s="386"/>
      <c r="T52" s="260" t="str">
        <f t="shared" si="57"/>
        <v>0.0%</v>
      </c>
      <c r="U52" s="307" t="str">
        <f t="shared" si="58"/>
        <v>0.0%</v>
      </c>
      <c r="V52" s="386"/>
      <c r="W52" s="260" t="str">
        <f t="shared" si="80"/>
        <v>0.0%</v>
      </c>
      <c r="X52" s="307" t="str">
        <f t="shared" si="81"/>
        <v>0.0%</v>
      </c>
      <c r="Y52" s="391">
        <f t="shared" si="82"/>
        <v>0</v>
      </c>
      <c r="Z52" s="260" t="str">
        <f t="shared" si="83"/>
        <v>0.0%</v>
      </c>
      <c r="AA52" s="307" t="str">
        <f t="shared" si="84"/>
        <v>0.0%</v>
      </c>
      <c r="AB52" s="386"/>
      <c r="AC52" s="260" t="str">
        <f t="shared" si="59"/>
        <v>0.0%</v>
      </c>
      <c r="AD52" s="307" t="str">
        <f t="shared" si="60"/>
        <v>0.0%</v>
      </c>
      <c r="AE52" s="386"/>
      <c r="AF52" s="260" t="str">
        <f t="shared" si="61"/>
        <v>0.0%</v>
      </c>
      <c r="AG52" s="307" t="str">
        <f t="shared" si="62"/>
        <v>0.0%</v>
      </c>
      <c r="AH52" s="386"/>
      <c r="AI52" s="260" t="str">
        <f t="shared" si="85"/>
        <v>0.0%</v>
      </c>
      <c r="AJ52" s="261" t="str">
        <f t="shared" si="86"/>
        <v>0.0%</v>
      </c>
      <c r="AK52" s="391">
        <f t="shared" si="87"/>
        <v>0</v>
      </c>
      <c r="AL52" s="260" t="str">
        <f t="shared" si="63"/>
        <v>0.0%</v>
      </c>
      <c r="AM52" s="307" t="str">
        <f t="shared" si="64"/>
        <v>0.0%</v>
      </c>
      <c r="AN52" s="390"/>
      <c r="AO52" s="260" t="str">
        <f t="shared" si="88"/>
        <v>0.0%</v>
      </c>
      <c r="AP52" s="307" t="str">
        <f t="shared" si="89"/>
        <v>0.0%</v>
      </c>
      <c r="AQ52" s="386"/>
      <c r="AR52" s="260" t="str">
        <f t="shared" si="65"/>
        <v>0.0%</v>
      </c>
      <c r="AS52" s="307" t="str">
        <f t="shared" si="66"/>
        <v>0.0%</v>
      </c>
      <c r="AT52" s="386"/>
      <c r="AU52" s="260" t="str">
        <f t="shared" si="90"/>
        <v>0.0%</v>
      </c>
      <c r="AV52" s="307" t="str">
        <f t="shared" si="91"/>
        <v>0.0%</v>
      </c>
      <c r="AW52" s="391">
        <f t="shared" si="92"/>
        <v>0</v>
      </c>
      <c r="AX52" s="260" t="str">
        <f t="shared" si="67"/>
        <v>0.0%</v>
      </c>
      <c r="AY52" s="307" t="str">
        <f t="shared" si="68"/>
        <v>0.0%</v>
      </c>
      <c r="AZ52" s="391">
        <f t="shared" si="93"/>
        <v>0</v>
      </c>
      <c r="BA52" s="260" t="str">
        <f t="shared" si="69"/>
        <v>0.0%</v>
      </c>
      <c r="BB52" s="261" t="str">
        <f t="shared" si="70"/>
        <v>0.0%</v>
      </c>
      <c r="BC52" s="391">
        <f t="shared" si="94"/>
        <v>0</v>
      </c>
      <c r="BD52" s="260" t="str">
        <f t="shared" si="95"/>
        <v>0.0%</v>
      </c>
      <c r="BE52" s="261" t="str">
        <f t="shared" si="96"/>
        <v>0.0%</v>
      </c>
      <c r="BF52" s="391">
        <f t="shared" si="97"/>
        <v>0</v>
      </c>
      <c r="BG52" s="260" t="str">
        <f t="shared" si="98"/>
        <v>0.0%</v>
      </c>
      <c r="BH52" s="261" t="str">
        <f t="shared" si="99"/>
        <v>0.0%</v>
      </c>
      <c r="BI52" s="391">
        <f t="shared" si="100"/>
        <v>0</v>
      </c>
      <c r="BJ52" s="260" t="str">
        <f t="shared" si="101"/>
        <v>0.0%</v>
      </c>
      <c r="BK52" s="261" t="str">
        <f t="shared" si="102"/>
        <v>0.0%</v>
      </c>
      <c r="BL52" s="391">
        <f t="shared" si="103"/>
        <v>0</v>
      </c>
      <c r="BM52" s="260" t="str">
        <f t="shared" si="104"/>
        <v>0.0%</v>
      </c>
    </row>
    <row r="53" spans="1:65" s="233" customFormat="1" ht="12" x14ac:dyDescent="0.2">
      <c r="A53" s="245"/>
      <c r="B53" s="386"/>
      <c r="C53" s="387">
        <f t="shared" si="71"/>
        <v>0</v>
      </c>
      <c r="D53" s="386"/>
      <c r="E53" s="260" t="str">
        <f t="shared" si="54"/>
        <v>0.0%</v>
      </c>
      <c r="F53" s="261" t="str">
        <f t="shared" si="72"/>
        <v>0.0%</v>
      </c>
      <c r="G53" s="386"/>
      <c r="H53" s="260" t="str">
        <f t="shared" si="73"/>
        <v>0.0%</v>
      </c>
      <c r="I53" s="261" t="str">
        <f t="shared" si="74"/>
        <v>0.0%</v>
      </c>
      <c r="J53" s="386"/>
      <c r="K53" s="303" t="str">
        <f t="shared" si="55"/>
        <v>0.0%</v>
      </c>
      <c r="L53" s="282" t="str">
        <f t="shared" si="56"/>
        <v>0.0%</v>
      </c>
      <c r="M53" s="391">
        <f t="shared" si="75"/>
        <v>0</v>
      </c>
      <c r="N53" s="303" t="str">
        <f t="shared" si="76"/>
        <v>0.0%</v>
      </c>
      <c r="O53" s="283" t="str">
        <f t="shared" si="77"/>
        <v>0.0%</v>
      </c>
      <c r="P53" s="386"/>
      <c r="Q53" s="260" t="str">
        <f t="shared" si="78"/>
        <v>0.0%</v>
      </c>
      <c r="R53" s="261" t="str">
        <f t="shared" si="79"/>
        <v>0.0%</v>
      </c>
      <c r="S53" s="386"/>
      <c r="T53" s="260" t="str">
        <f t="shared" si="57"/>
        <v>0.0%</v>
      </c>
      <c r="U53" s="307" t="str">
        <f t="shared" si="58"/>
        <v>0.0%</v>
      </c>
      <c r="V53" s="386"/>
      <c r="W53" s="260" t="str">
        <f t="shared" si="80"/>
        <v>0.0%</v>
      </c>
      <c r="X53" s="307" t="str">
        <f t="shared" si="81"/>
        <v>0.0%</v>
      </c>
      <c r="Y53" s="391">
        <f t="shared" si="82"/>
        <v>0</v>
      </c>
      <c r="Z53" s="260" t="str">
        <f t="shared" si="83"/>
        <v>0.0%</v>
      </c>
      <c r="AA53" s="307" t="str">
        <f t="shared" si="84"/>
        <v>0.0%</v>
      </c>
      <c r="AB53" s="386"/>
      <c r="AC53" s="260" t="str">
        <f t="shared" si="59"/>
        <v>0.0%</v>
      </c>
      <c r="AD53" s="307" t="str">
        <f t="shared" si="60"/>
        <v>0.0%</v>
      </c>
      <c r="AE53" s="386"/>
      <c r="AF53" s="260" t="str">
        <f t="shared" si="61"/>
        <v>0.0%</v>
      </c>
      <c r="AG53" s="307" t="str">
        <f t="shared" si="62"/>
        <v>0.0%</v>
      </c>
      <c r="AH53" s="386"/>
      <c r="AI53" s="260" t="str">
        <f t="shared" si="85"/>
        <v>0.0%</v>
      </c>
      <c r="AJ53" s="261" t="str">
        <f t="shared" si="86"/>
        <v>0.0%</v>
      </c>
      <c r="AK53" s="391">
        <f t="shared" si="87"/>
        <v>0</v>
      </c>
      <c r="AL53" s="260" t="str">
        <f t="shared" si="63"/>
        <v>0.0%</v>
      </c>
      <c r="AM53" s="307" t="str">
        <f t="shared" si="64"/>
        <v>0.0%</v>
      </c>
      <c r="AN53" s="390"/>
      <c r="AO53" s="260" t="str">
        <f t="shared" si="88"/>
        <v>0.0%</v>
      </c>
      <c r="AP53" s="307" t="str">
        <f t="shared" si="89"/>
        <v>0.0%</v>
      </c>
      <c r="AQ53" s="386"/>
      <c r="AR53" s="260" t="str">
        <f t="shared" si="65"/>
        <v>0.0%</v>
      </c>
      <c r="AS53" s="307" t="str">
        <f t="shared" si="66"/>
        <v>0.0%</v>
      </c>
      <c r="AT53" s="386"/>
      <c r="AU53" s="260" t="str">
        <f t="shared" si="90"/>
        <v>0.0%</v>
      </c>
      <c r="AV53" s="307" t="str">
        <f t="shared" si="91"/>
        <v>0.0%</v>
      </c>
      <c r="AW53" s="391">
        <f t="shared" si="92"/>
        <v>0</v>
      </c>
      <c r="AX53" s="260" t="str">
        <f t="shared" si="67"/>
        <v>0.0%</v>
      </c>
      <c r="AY53" s="307" t="str">
        <f t="shared" si="68"/>
        <v>0.0%</v>
      </c>
      <c r="AZ53" s="391">
        <f t="shared" si="93"/>
        <v>0</v>
      </c>
      <c r="BA53" s="260" t="str">
        <f t="shared" si="69"/>
        <v>0.0%</v>
      </c>
      <c r="BB53" s="261" t="str">
        <f t="shared" si="70"/>
        <v>0.0%</v>
      </c>
      <c r="BC53" s="391">
        <f t="shared" si="94"/>
        <v>0</v>
      </c>
      <c r="BD53" s="260" t="str">
        <f t="shared" si="95"/>
        <v>0.0%</v>
      </c>
      <c r="BE53" s="261" t="str">
        <f t="shared" si="96"/>
        <v>0.0%</v>
      </c>
      <c r="BF53" s="391">
        <f t="shared" si="97"/>
        <v>0</v>
      </c>
      <c r="BG53" s="260" t="str">
        <f t="shared" si="98"/>
        <v>0.0%</v>
      </c>
      <c r="BH53" s="261" t="str">
        <f t="shared" si="99"/>
        <v>0.0%</v>
      </c>
      <c r="BI53" s="391">
        <f t="shared" si="100"/>
        <v>0</v>
      </c>
      <c r="BJ53" s="260" t="str">
        <f t="shared" si="101"/>
        <v>0.0%</v>
      </c>
      <c r="BK53" s="261" t="str">
        <f t="shared" si="102"/>
        <v>0.0%</v>
      </c>
      <c r="BL53" s="391">
        <f t="shared" si="103"/>
        <v>0</v>
      </c>
      <c r="BM53" s="260" t="str">
        <f t="shared" si="104"/>
        <v>0.0%</v>
      </c>
    </row>
    <row r="54" spans="1:65" s="233" customFormat="1" ht="12" x14ac:dyDescent="0.2">
      <c r="A54" s="242"/>
      <c r="B54" s="386"/>
      <c r="C54" s="387">
        <f t="shared" si="71"/>
        <v>0</v>
      </c>
      <c r="D54" s="386"/>
      <c r="E54" s="260" t="str">
        <f t="shared" si="54"/>
        <v>0.0%</v>
      </c>
      <c r="F54" s="261" t="str">
        <f t="shared" si="72"/>
        <v>0.0%</v>
      </c>
      <c r="G54" s="386"/>
      <c r="H54" s="260" t="str">
        <f t="shared" si="73"/>
        <v>0.0%</v>
      </c>
      <c r="I54" s="261" t="str">
        <f t="shared" si="74"/>
        <v>0.0%</v>
      </c>
      <c r="J54" s="386"/>
      <c r="K54" s="303" t="str">
        <f t="shared" si="55"/>
        <v>0.0%</v>
      </c>
      <c r="L54" s="282" t="str">
        <f t="shared" si="56"/>
        <v>0.0%</v>
      </c>
      <c r="M54" s="391">
        <f t="shared" si="75"/>
        <v>0</v>
      </c>
      <c r="N54" s="303" t="str">
        <f t="shared" si="76"/>
        <v>0.0%</v>
      </c>
      <c r="O54" s="283" t="str">
        <f t="shared" si="77"/>
        <v>0.0%</v>
      </c>
      <c r="P54" s="386"/>
      <c r="Q54" s="260" t="str">
        <f t="shared" si="78"/>
        <v>0.0%</v>
      </c>
      <c r="R54" s="261" t="str">
        <f t="shared" si="79"/>
        <v>0.0%</v>
      </c>
      <c r="S54" s="386"/>
      <c r="T54" s="260" t="str">
        <f t="shared" si="57"/>
        <v>0.0%</v>
      </c>
      <c r="U54" s="307" t="str">
        <f t="shared" si="58"/>
        <v>0.0%</v>
      </c>
      <c r="V54" s="386"/>
      <c r="W54" s="260" t="str">
        <f t="shared" si="80"/>
        <v>0.0%</v>
      </c>
      <c r="X54" s="307" t="str">
        <f t="shared" si="81"/>
        <v>0.0%</v>
      </c>
      <c r="Y54" s="391">
        <f t="shared" si="82"/>
        <v>0</v>
      </c>
      <c r="Z54" s="260" t="str">
        <f t="shared" si="83"/>
        <v>0.0%</v>
      </c>
      <c r="AA54" s="307" t="str">
        <f t="shared" si="84"/>
        <v>0.0%</v>
      </c>
      <c r="AB54" s="386"/>
      <c r="AC54" s="260" t="str">
        <f t="shared" si="59"/>
        <v>0.0%</v>
      </c>
      <c r="AD54" s="307" t="str">
        <f t="shared" si="60"/>
        <v>0.0%</v>
      </c>
      <c r="AE54" s="386"/>
      <c r="AF54" s="260" t="str">
        <f t="shared" si="61"/>
        <v>0.0%</v>
      </c>
      <c r="AG54" s="307" t="str">
        <f t="shared" si="62"/>
        <v>0.0%</v>
      </c>
      <c r="AH54" s="386"/>
      <c r="AI54" s="260" t="str">
        <f t="shared" si="85"/>
        <v>0.0%</v>
      </c>
      <c r="AJ54" s="261" t="str">
        <f t="shared" si="86"/>
        <v>0.0%</v>
      </c>
      <c r="AK54" s="391">
        <f t="shared" si="87"/>
        <v>0</v>
      </c>
      <c r="AL54" s="260" t="str">
        <f t="shared" si="63"/>
        <v>0.0%</v>
      </c>
      <c r="AM54" s="307" t="str">
        <f t="shared" si="64"/>
        <v>0.0%</v>
      </c>
      <c r="AN54" s="390"/>
      <c r="AO54" s="260" t="str">
        <f t="shared" si="88"/>
        <v>0.0%</v>
      </c>
      <c r="AP54" s="307" t="str">
        <f t="shared" si="89"/>
        <v>0.0%</v>
      </c>
      <c r="AQ54" s="386"/>
      <c r="AR54" s="260" t="str">
        <f t="shared" si="65"/>
        <v>0.0%</v>
      </c>
      <c r="AS54" s="307" t="str">
        <f t="shared" si="66"/>
        <v>0.0%</v>
      </c>
      <c r="AT54" s="386"/>
      <c r="AU54" s="260" t="str">
        <f t="shared" si="90"/>
        <v>0.0%</v>
      </c>
      <c r="AV54" s="307" t="str">
        <f t="shared" si="91"/>
        <v>0.0%</v>
      </c>
      <c r="AW54" s="391">
        <f t="shared" si="92"/>
        <v>0</v>
      </c>
      <c r="AX54" s="260" t="str">
        <f t="shared" si="67"/>
        <v>0.0%</v>
      </c>
      <c r="AY54" s="307" t="str">
        <f t="shared" si="68"/>
        <v>0.0%</v>
      </c>
      <c r="AZ54" s="391">
        <f t="shared" si="93"/>
        <v>0</v>
      </c>
      <c r="BA54" s="260" t="str">
        <f t="shared" si="69"/>
        <v>0.0%</v>
      </c>
      <c r="BB54" s="261" t="str">
        <f t="shared" si="70"/>
        <v>0.0%</v>
      </c>
      <c r="BC54" s="391">
        <f t="shared" si="94"/>
        <v>0</v>
      </c>
      <c r="BD54" s="260" t="str">
        <f t="shared" si="95"/>
        <v>0.0%</v>
      </c>
      <c r="BE54" s="261" t="str">
        <f t="shared" si="96"/>
        <v>0.0%</v>
      </c>
      <c r="BF54" s="391">
        <f t="shared" si="97"/>
        <v>0</v>
      </c>
      <c r="BG54" s="260" t="str">
        <f t="shared" si="98"/>
        <v>0.0%</v>
      </c>
      <c r="BH54" s="261" t="str">
        <f t="shared" si="99"/>
        <v>0.0%</v>
      </c>
      <c r="BI54" s="391">
        <f t="shared" si="100"/>
        <v>0</v>
      </c>
      <c r="BJ54" s="260" t="str">
        <f t="shared" si="101"/>
        <v>0.0%</v>
      </c>
      <c r="BK54" s="261" t="str">
        <f t="shared" si="102"/>
        <v>0.0%</v>
      </c>
      <c r="BL54" s="391">
        <f t="shared" si="103"/>
        <v>0</v>
      </c>
      <c r="BM54" s="260" t="str">
        <f t="shared" si="104"/>
        <v>0.0%</v>
      </c>
    </row>
    <row r="55" spans="1:65" s="233" customFormat="1" ht="12" x14ac:dyDescent="0.2">
      <c r="A55" s="245"/>
      <c r="B55" s="386"/>
      <c r="C55" s="387">
        <f t="shared" si="71"/>
        <v>0</v>
      </c>
      <c r="D55" s="386"/>
      <c r="E55" s="260" t="str">
        <f t="shared" si="54"/>
        <v>0.0%</v>
      </c>
      <c r="F55" s="261" t="str">
        <f t="shared" si="72"/>
        <v>0.0%</v>
      </c>
      <c r="G55" s="386"/>
      <c r="H55" s="260" t="str">
        <f t="shared" si="73"/>
        <v>0.0%</v>
      </c>
      <c r="I55" s="261" t="str">
        <f t="shared" si="74"/>
        <v>0.0%</v>
      </c>
      <c r="J55" s="386"/>
      <c r="K55" s="303" t="str">
        <f t="shared" si="55"/>
        <v>0.0%</v>
      </c>
      <c r="L55" s="282" t="str">
        <f t="shared" si="56"/>
        <v>0.0%</v>
      </c>
      <c r="M55" s="391">
        <f t="shared" si="75"/>
        <v>0</v>
      </c>
      <c r="N55" s="303" t="str">
        <f t="shared" si="76"/>
        <v>0.0%</v>
      </c>
      <c r="O55" s="283" t="str">
        <f t="shared" si="77"/>
        <v>0.0%</v>
      </c>
      <c r="P55" s="386"/>
      <c r="Q55" s="260" t="str">
        <f t="shared" si="78"/>
        <v>0.0%</v>
      </c>
      <c r="R55" s="261" t="str">
        <f t="shared" si="79"/>
        <v>0.0%</v>
      </c>
      <c r="S55" s="386"/>
      <c r="T55" s="260" t="str">
        <f t="shared" si="57"/>
        <v>0.0%</v>
      </c>
      <c r="U55" s="307" t="str">
        <f t="shared" si="58"/>
        <v>0.0%</v>
      </c>
      <c r="V55" s="386"/>
      <c r="W55" s="260" t="str">
        <f t="shared" si="80"/>
        <v>0.0%</v>
      </c>
      <c r="X55" s="307" t="str">
        <f t="shared" si="81"/>
        <v>0.0%</v>
      </c>
      <c r="Y55" s="391">
        <f t="shared" si="82"/>
        <v>0</v>
      </c>
      <c r="Z55" s="260" t="str">
        <f t="shared" si="83"/>
        <v>0.0%</v>
      </c>
      <c r="AA55" s="307" t="str">
        <f t="shared" si="84"/>
        <v>0.0%</v>
      </c>
      <c r="AB55" s="386"/>
      <c r="AC55" s="260" t="str">
        <f t="shared" si="59"/>
        <v>0.0%</v>
      </c>
      <c r="AD55" s="307" t="str">
        <f t="shared" si="60"/>
        <v>0.0%</v>
      </c>
      <c r="AE55" s="386"/>
      <c r="AF55" s="260" t="str">
        <f t="shared" si="61"/>
        <v>0.0%</v>
      </c>
      <c r="AG55" s="307" t="str">
        <f t="shared" si="62"/>
        <v>0.0%</v>
      </c>
      <c r="AH55" s="386"/>
      <c r="AI55" s="260" t="str">
        <f t="shared" si="85"/>
        <v>0.0%</v>
      </c>
      <c r="AJ55" s="261" t="str">
        <f t="shared" si="86"/>
        <v>0.0%</v>
      </c>
      <c r="AK55" s="391">
        <f t="shared" si="87"/>
        <v>0</v>
      </c>
      <c r="AL55" s="260" t="str">
        <f t="shared" si="63"/>
        <v>0.0%</v>
      </c>
      <c r="AM55" s="307" t="str">
        <f t="shared" si="64"/>
        <v>0.0%</v>
      </c>
      <c r="AN55" s="390"/>
      <c r="AO55" s="260" t="str">
        <f t="shared" si="88"/>
        <v>0.0%</v>
      </c>
      <c r="AP55" s="307" t="str">
        <f t="shared" si="89"/>
        <v>0.0%</v>
      </c>
      <c r="AQ55" s="386"/>
      <c r="AR55" s="260" t="str">
        <f t="shared" si="65"/>
        <v>0.0%</v>
      </c>
      <c r="AS55" s="307" t="str">
        <f t="shared" si="66"/>
        <v>0.0%</v>
      </c>
      <c r="AT55" s="386"/>
      <c r="AU55" s="260" t="str">
        <f t="shared" si="90"/>
        <v>0.0%</v>
      </c>
      <c r="AV55" s="307" t="str">
        <f t="shared" si="91"/>
        <v>0.0%</v>
      </c>
      <c r="AW55" s="391">
        <f t="shared" si="92"/>
        <v>0</v>
      </c>
      <c r="AX55" s="260" t="str">
        <f t="shared" si="67"/>
        <v>0.0%</v>
      </c>
      <c r="AY55" s="307" t="str">
        <f t="shared" si="68"/>
        <v>0.0%</v>
      </c>
      <c r="AZ55" s="391">
        <f t="shared" si="93"/>
        <v>0</v>
      </c>
      <c r="BA55" s="260" t="str">
        <f t="shared" si="69"/>
        <v>0.0%</v>
      </c>
      <c r="BB55" s="261" t="str">
        <f t="shared" si="70"/>
        <v>0.0%</v>
      </c>
      <c r="BC55" s="391">
        <f t="shared" si="94"/>
        <v>0</v>
      </c>
      <c r="BD55" s="260" t="str">
        <f t="shared" si="95"/>
        <v>0.0%</v>
      </c>
      <c r="BE55" s="261" t="str">
        <f t="shared" si="96"/>
        <v>0.0%</v>
      </c>
      <c r="BF55" s="391">
        <f t="shared" si="97"/>
        <v>0</v>
      </c>
      <c r="BG55" s="260" t="str">
        <f t="shared" si="98"/>
        <v>0.0%</v>
      </c>
      <c r="BH55" s="261" t="str">
        <f t="shared" si="99"/>
        <v>0.0%</v>
      </c>
      <c r="BI55" s="391">
        <f t="shared" si="100"/>
        <v>0</v>
      </c>
      <c r="BJ55" s="260" t="str">
        <f t="shared" si="101"/>
        <v>0.0%</v>
      </c>
      <c r="BK55" s="261" t="str">
        <f t="shared" si="102"/>
        <v>0.0%</v>
      </c>
      <c r="BL55" s="391">
        <f t="shared" si="103"/>
        <v>0</v>
      </c>
      <c r="BM55" s="260" t="str">
        <f t="shared" si="104"/>
        <v>0.0%</v>
      </c>
    </row>
    <row r="56" spans="1:65" s="233" customFormat="1" ht="12" x14ac:dyDescent="0.2">
      <c r="A56" s="242"/>
      <c r="B56" s="386"/>
      <c r="C56" s="387">
        <f t="shared" si="71"/>
        <v>0</v>
      </c>
      <c r="D56" s="386"/>
      <c r="E56" s="260" t="str">
        <f t="shared" si="54"/>
        <v>0.0%</v>
      </c>
      <c r="F56" s="261" t="str">
        <f t="shared" si="72"/>
        <v>0.0%</v>
      </c>
      <c r="G56" s="386"/>
      <c r="H56" s="260" t="str">
        <f t="shared" si="73"/>
        <v>0.0%</v>
      </c>
      <c r="I56" s="261" t="str">
        <f t="shared" si="74"/>
        <v>0.0%</v>
      </c>
      <c r="J56" s="386"/>
      <c r="K56" s="303" t="str">
        <f t="shared" si="55"/>
        <v>0.0%</v>
      </c>
      <c r="L56" s="282" t="str">
        <f t="shared" si="56"/>
        <v>0.0%</v>
      </c>
      <c r="M56" s="391">
        <f t="shared" si="75"/>
        <v>0</v>
      </c>
      <c r="N56" s="303" t="str">
        <f t="shared" si="76"/>
        <v>0.0%</v>
      </c>
      <c r="O56" s="283" t="str">
        <f t="shared" si="77"/>
        <v>0.0%</v>
      </c>
      <c r="P56" s="386"/>
      <c r="Q56" s="260" t="str">
        <f t="shared" si="78"/>
        <v>0.0%</v>
      </c>
      <c r="R56" s="261" t="str">
        <f t="shared" si="79"/>
        <v>0.0%</v>
      </c>
      <c r="S56" s="386"/>
      <c r="T56" s="260" t="str">
        <f t="shared" si="57"/>
        <v>0.0%</v>
      </c>
      <c r="U56" s="307" t="str">
        <f t="shared" si="58"/>
        <v>0.0%</v>
      </c>
      <c r="V56" s="386"/>
      <c r="W56" s="260" t="str">
        <f t="shared" si="80"/>
        <v>0.0%</v>
      </c>
      <c r="X56" s="307" t="str">
        <f t="shared" si="81"/>
        <v>0.0%</v>
      </c>
      <c r="Y56" s="391">
        <f t="shared" si="82"/>
        <v>0</v>
      </c>
      <c r="Z56" s="260" t="str">
        <f t="shared" si="83"/>
        <v>0.0%</v>
      </c>
      <c r="AA56" s="307" t="str">
        <f t="shared" si="84"/>
        <v>0.0%</v>
      </c>
      <c r="AB56" s="386"/>
      <c r="AC56" s="260" t="str">
        <f t="shared" si="59"/>
        <v>0.0%</v>
      </c>
      <c r="AD56" s="307" t="str">
        <f t="shared" si="60"/>
        <v>0.0%</v>
      </c>
      <c r="AE56" s="386"/>
      <c r="AF56" s="260" t="str">
        <f t="shared" si="61"/>
        <v>0.0%</v>
      </c>
      <c r="AG56" s="307" t="str">
        <f t="shared" si="62"/>
        <v>0.0%</v>
      </c>
      <c r="AH56" s="386"/>
      <c r="AI56" s="260" t="str">
        <f t="shared" si="85"/>
        <v>0.0%</v>
      </c>
      <c r="AJ56" s="261" t="str">
        <f t="shared" si="86"/>
        <v>0.0%</v>
      </c>
      <c r="AK56" s="391">
        <f t="shared" si="87"/>
        <v>0</v>
      </c>
      <c r="AL56" s="260" t="str">
        <f t="shared" si="63"/>
        <v>0.0%</v>
      </c>
      <c r="AM56" s="307" t="str">
        <f t="shared" si="64"/>
        <v>0.0%</v>
      </c>
      <c r="AN56" s="390"/>
      <c r="AO56" s="260" t="str">
        <f t="shared" si="88"/>
        <v>0.0%</v>
      </c>
      <c r="AP56" s="307" t="str">
        <f t="shared" si="89"/>
        <v>0.0%</v>
      </c>
      <c r="AQ56" s="386"/>
      <c r="AR56" s="260" t="str">
        <f t="shared" si="65"/>
        <v>0.0%</v>
      </c>
      <c r="AS56" s="307" t="str">
        <f t="shared" si="66"/>
        <v>0.0%</v>
      </c>
      <c r="AT56" s="386"/>
      <c r="AU56" s="260" t="str">
        <f t="shared" si="90"/>
        <v>0.0%</v>
      </c>
      <c r="AV56" s="307" t="str">
        <f t="shared" si="91"/>
        <v>0.0%</v>
      </c>
      <c r="AW56" s="391">
        <f t="shared" si="92"/>
        <v>0</v>
      </c>
      <c r="AX56" s="260" t="str">
        <f t="shared" si="67"/>
        <v>0.0%</v>
      </c>
      <c r="AY56" s="307" t="str">
        <f t="shared" si="68"/>
        <v>0.0%</v>
      </c>
      <c r="AZ56" s="391">
        <f t="shared" si="93"/>
        <v>0</v>
      </c>
      <c r="BA56" s="260" t="str">
        <f t="shared" si="69"/>
        <v>0.0%</v>
      </c>
      <c r="BB56" s="261" t="str">
        <f t="shared" si="70"/>
        <v>0.0%</v>
      </c>
      <c r="BC56" s="391">
        <f t="shared" si="94"/>
        <v>0</v>
      </c>
      <c r="BD56" s="260" t="str">
        <f t="shared" si="95"/>
        <v>0.0%</v>
      </c>
      <c r="BE56" s="261" t="str">
        <f t="shared" si="96"/>
        <v>0.0%</v>
      </c>
      <c r="BF56" s="391">
        <f t="shared" si="97"/>
        <v>0</v>
      </c>
      <c r="BG56" s="260" t="str">
        <f t="shared" si="98"/>
        <v>0.0%</v>
      </c>
      <c r="BH56" s="261" t="str">
        <f t="shared" si="99"/>
        <v>0.0%</v>
      </c>
      <c r="BI56" s="391">
        <f t="shared" si="100"/>
        <v>0</v>
      </c>
      <c r="BJ56" s="260" t="str">
        <f t="shared" si="101"/>
        <v>0.0%</v>
      </c>
      <c r="BK56" s="261" t="str">
        <f t="shared" si="102"/>
        <v>0.0%</v>
      </c>
      <c r="BL56" s="391">
        <f t="shared" si="103"/>
        <v>0</v>
      </c>
      <c r="BM56" s="260" t="str">
        <f t="shared" si="104"/>
        <v>0.0%</v>
      </c>
    </row>
    <row r="57" spans="1:65" s="233" customFormat="1" thickBot="1" x14ac:dyDescent="0.25">
      <c r="A57" s="243"/>
      <c r="B57" s="386"/>
      <c r="C57" s="387">
        <f t="shared" si="71"/>
        <v>0</v>
      </c>
      <c r="D57" s="386"/>
      <c r="E57" s="260" t="str">
        <f t="shared" si="54"/>
        <v>0.0%</v>
      </c>
      <c r="F57" s="261" t="str">
        <f t="shared" si="72"/>
        <v>0.0%</v>
      </c>
      <c r="G57" s="386"/>
      <c r="H57" s="260" t="str">
        <f t="shared" si="73"/>
        <v>0.0%</v>
      </c>
      <c r="I57" s="261" t="str">
        <f t="shared" si="74"/>
        <v>0.0%</v>
      </c>
      <c r="J57" s="386"/>
      <c r="K57" s="303" t="str">
        <f t="shared" si="55"/>
        <v>0.0%</v>
      </c>
      <c r="L57" s="282" t="str">
        <f t="shared" si="56"/>
        <v>0.0%</v>
      </c>
      <c r="M57" s="391">
        <f t="shared" si="75"/>
        <v>0</v>
      </c>
      <c r="N57" s="303" t="str">
        <f t="shared" si="76"/>
        <v>0.0%</v>
      </c>
      <c r="O57" s="283" t="str">
        <f t="shared" si="77"/>
        <v>0.0%</v>
      </c>
      <c r="P57" s="386"/>
      <c r="Q57" s="260" t="str">
        <f t="shared" si="78"/>
        <v>0.0%</v>
      </c>
      <c r="R57" s="261" t="str">
        <f t="shared" si="79"/>
        <v>0.0%</v>
      </c>
      <c r="S57" s="397"/>
      <c r="T57" s="308" t="str">
        <f t="shared" si="57"/>
        <v>0.0%</v>
      </c>
      <c r="U57" s="309" t="str">
        <f t="shared" si="58"/>
        <v>0.0%</v>
      </c>
      <c r="V57" s="397"/>
      <c r="W57" s="308" t="str">
        <f t="shared" si="80"/>
        <v>0.0%</v>
      </c>
      <c r="X57" s="309" t="str">
        <f t="shared" si="81"/>
        <v>0.0%</v>
      </c>
      <c r="Y57" s="399">
        <f t="shared" si="82"/>
        <v>0</v>
      </c>
      <c r="Z57" s="262" t="str">
        <f t="shared" si="83"/>
        <v>0.0%</v>
      </c>
      <c r="AA57" s="313" t="str">
        <f t="shared" si="84"/>
        <v>0.0%</v>
      </c>
      <c r="AB57" s="386"/>
      <c r="AC57" s="260" t="str">
        <f t="shared" si="59"/>
        <v>0.0%</v>
      </c>
      <c r="AD57" s="307" t="str">
        <f t="shared" si="60"/>
        <v>0.0%</v>
      </c>
      <c r="AE57" s="386"/>
      <c r="AF57" s="260" t="str">
        <f t="shared" si="61"/>
        <v>0.0%</v>
      </c>
      <c r="AG57" s="307" t="str">
        <f t="shared" si="62"/>
        <v>0.0%</v>
      </c>
      <c r="AH57" s="386"/>
      <c r="AI57" s="260" t="str">
        <f t="shared" si="85"/>
        <v>0.0%</v>
      </c>
      <c r="AJ57" s="261" t="str">
        <f t="shared" si="86"/>
        <v>0.0%</v>
      </c>
      <c r="AK57" s="399">
        <f t="shared" si="87"/>
        <v>0</v>
      </c>
      <c r="AL57" s="262" t="str">
        <f t="shared" si="63"/>
        <v>0.0%</v>
      </c>
      <c r="AM57" s="313" t="str">
        <f t="shared" si="64"/>
        <v>0.0%</v>
      </c>
      <c r="AN57" s="390"/>
      <c r="AO57" s="260" t="str">
        <f t="shared" si="88"/>
        <v>0.0%</v>
      </c>
      <c r="AP57" s="307" t="str">
        <f t="shared" si="89"/>
        <v>0.0%</v>
      </c>
      <c r="AQ57" s="386"/>
      <c r="AR57" s="260" t="str">
        <f t="shared" si="65"/>
        <v>0.0%</v>
      </c>
      <c r="AS57" s="307" t="str">
        <f t="shared" si="66"/>
        <v>0.0%</v>
      </c>
      <c r="AT57" s="386"/>
      <c r="AU57" s="260" t="str">
        <f t="shared" si="90"/>
        <v>0.0%</v>
      </c>
      <c r="AV57" s="307" t="str">
        <f t="shared" si="91"/>
        <v>0.0%</v>
      </c>
      <c r="AW57" s="391">
        <f t="shared" si="92"/>
        <v>0</v>
      </c>
      <c r="AX57" s="260" t="str">
        <f t="shared" si="67"/>
        <v>0.0%</v>
      </c>
      <c r="AY57" s="307" t="str">
        <f t="shared" si="68"/>
        <v>0.0%</v>
      </c>
      <c r="AZ57" s="391">
        <f t="shared" si="93"/>
        <v>0</v>
      </c>
      <c r="BA57" s="260" t="str">
        <f t="shared" si="69"/>
        <v>0.0%</v>
      </c>
      <c r="BB57" s="261" t="str">
        <f t="shared" si="70"/>
        <v>0.0%</v>
      </c>
      <c r="BC57" s="391">
        <f t="shared" si="94"/>
        <v>0</v>
      </c>
      <c r="BD57" s="260" t="str">
        <f t="shared" si="95"/>
        <v>0.0%</v>
      </c>
      <c r="BE57" s="261" t="str">
        <f t="shared" si="96"/>
        <v>0.0%</v>
      </c>
      <c r="BF57" s="391">
        <f t="shared" si="97"/>
        <v>0</v>
      </c>
      <c r="BG57" s="260" t="str">
        <f t="shared" si="98"/>
        <v>0.0%</v>
      </c>
      <c r="BH57" s="261" t="str">
        <f t="shared" si="99"/>
        <v>0.0%</v>
      </c>
      <c r="BI57" s="391">
        <f t="shared" si="100"/>
        <v>0</v>
      </c>
      <c r="BJ57" s="260" t="str">
        <f t="shared" si="101"/>
        <v>0.0%</v>
      </c>
      <c r="BK57" s="261" t="str">
        <f t="shared" si="102"/>
        <v>0.0%</v>
      </c>
      <c r="BL57" s="391">
        <f t="shared" si="103"/>
        <v>0</v>
      </c>
      <c r="BM57" s="260" t="str">
        <f t="shared" si="104"/>
        <v>0.0%</v>
      </c>
    </row>
    <row r="58" spans="1:65" s="233" customFormat="1" ht="12" x14ac:dyDescent="0.2">
      <c r="A58" s="250"/>
      <c r="B58" s="410"/>
      <c r="C58" s="411"/>
      <c r="D58" s="401"/>
      <c r="E58" s="270"/>
      <c r="F58" s="265"/>
      <c r="G58" s="401"/>
      <c r="H58" s="270"/>
      <c r="I58" s="265"/>
      <c r="J58" s="401"/>
      <c r="K58" s="270"/>
      <c r="L58" s="265"/>
      <c r="M58" s="401"/>
      <c r="N58" s="270"/>
      <c r="O58" s="265"/>
      <c r="P58" s="401"/>
      <c r="Q58" s="270"/>
      <c r="R58" s="265"/>
      <c r="S58" s="401"/>
      <c r="T58" s="270"/>
      <c r="U58" s="265"/>
      <c r="V58" s="401"/>
      <c r="W58" s="270"/>
      <c r="X58" s="264"/>
      <c r="Y58" s="401"/>
      <c r="Z58" s="270"/>
      <c r="AA58" s="264"/>
      <c r="AB58" s="401"/>
      <c r="AC58" s="270"/>
      <c r="AD58" s="264"/>
      <c r="AE58" s="401"/>
      <c r="AF58" s="270"/>
      <c r="AG58" s="264"/>
      <c r="AH58" s="401"/>
      <c r="AI58" s="270"/>
      <c r="AJ58" s="264"/>
      <c r="AK58" s="401"/>
      <c r="AL58" s="270"/>
      <c r="AM58" s="264"/>
      <c r="AN58" s="401"/>
      <c r="AO58" s="270"/>
      <c r="AP58" s="264"/>
      <c r="AQ58" s="401"/>
      <c r="AR58" s="270"/>
      <c r="AS58" s="264"/>
      <c r="AT58" s="401"/>
      <c r="AU58" s="270"/>
      <c r="AV58" s="264"/>
      <c r="AW58" s="401"/>
      <c r="AX58" s="270"/>
      <c r="AY58" s="265"/>
      <c r="AZ58" s="401"/>
      <c r="BA58" s="270"/>
      <c r="BB58" s="264"/>
      <c r="BC58" s="401"/>
      <c r="BD58" s="270"/>
      <c r="BE58" s="264"/>
      <c r="BF58" s="401"/>
      <c r="BG58" s="270"/>
      <c r="BH58" s="264"/>
      <c r="BI58" s="401"/>
      <c r="BJ58" s="270"/>
      <c r="BK58" s="264"/>
      <c r="BL58" s="403"/>
      <c r="BM58" s="325"/>
    </row>
    <row r="59" spans="1:65" s="233" customFormat="1" ht="12" x14ac:dyDescent="0.2">
      <c r="A59" s="329" t="s">
        <v>424</v>
      </c>
      <c r="B59" s="412">
        <f>SUM(B35:B57)</f>
        <v>0</v>
      </c>
      <c r="C59" s="413">
        <f>ROUND(B59/12,0)</f>
        <v>0</v>
      </c>
      <c r="D59" s="406">
        <f>SUM(D35:D57)</f>
        <v>0</v>
      </c>
      <c r="E59" s="271" t="str">
        <f>IFERROR(ROUND((D59-C59)/C59,3),"0.0%")</f>
        <v>0.0%</v>
      </c>
      <c r="F59" s="315" t="str">
        <f>IFERROR(ROUND((D59-C59)/C59,3),"0.0%")</f>
        <v>0.0%</v>
      </c>
      <c r="G59" s="406">
        <f>SUM(G35:G57)</f>
        <v>0</v>
      </c>
      <c r="H59" s="271" t="str">
        <f>IFERROR(ROUND((G59-C59)/C59,3),"0.0%")</f>
        <v>0.0%</v>
      </c>
      <c r="I59" s="315" t="str">
        <f>IFERROR(ROUND(((G59+D59)-(C59*2))/(C59*2),3),"0.0%")</f>
        <v>0.0%</v>
      </c>
      <c r="J59" s="406">
        <f>SUM(J35:J57)</f>
        <v>0</v>
      </c>
      <c r="K59" s="271" t="str">
        <f>IFERROR(ROUND((J59-C59)/C59,3),"0.0%")</f>
        <v>0.0%</v>
      </c>
      <c r="L59" s="315" t="str">
        <f>IFERROR(ROUND(((J59+G59+D59)-(C59*3))/(C59*3),3),"0.0%")</f>
        <v>0.0%</v>
      </c>
      <c r="M59" s="406">
        <f t="shared" si="75"/>
        <v>0</v>
      </c>
      <c r="N59" s="271" t="str">
        <f>IFERROR(ROUND((M59-(C59*3))/(C59*3),3),"0.0%")</f>
        <v>0.0%</v>
      </c>
      <c r="O59" s="315" t="str">
        <f>IFERROR(ROUND(((M59)-(C59*3))/(C59*3),3),"0.0%")</f>
        <v>0.0%</v>
      </c>
      <c r="P59" s="406">
        <f>SUM(P35:P57)</f>
        <v>0</v>
      </c>
      <c r="Q59" s="271" t="str">
        <f>IFERROR(ROUND((P59-C59)/C59,3),"0.0%")</f>
        <v>0.0%</v>
      </c>
      <c r="R59" s="315" t="str">
        <f>IFERROR(ROUND(((P59+M59)-(C59*4))/(C59*4),3),"0.0%")</f>
        <v>0.0%</v>
      </c>
      <c r="S59" s="406">
        <f>SUM(S35:S57)</f>
        <v>0</v>
      </c>
      <c r="T59" s="271" t="str">
        <f>IFERROR(ROUND((S59-C59)/C59,3),"0.0%")</f>
        <v>0.0%</v>
      </c>
      <c r="U59" s="315" t="str">
        <f>IFERROR(ROUND(((S59+P59+M59)-(C59*5))/(C59*5),3),"0.0%")</f>
        <v>0.0%</v>
      </c>
      <c r="V59" s="406">
        <f>SUM(V35:V57)</f>
        <v>0</v>
      </c>
      <c r="W59" s="271" t="str">
        <f>IFERROR(ROUND((V59-C59)/C59,3),"0.0%")</f>
        <v>0.0%</v>
      </c>
      <c r="X59" s="314" t="str">
        <f>IFERROR(ROUND(((V59+S59+P59+M59)-(C59*6))/(C59*6),3),"0.0%")</f>
        <v>0.0%</v>
      </c>
      <c r="Y59" s="406">
        <f>ROUND(P59+S59+V59,0)</f>
        <v>0</v>
      </c>
      <c r="Z59" s="271" t="str">
        <f>IFERROR(ROUND((Y59-(C59*3))/(C59*3),3),"0.0%")</f>
        <v>0.0%</v>
      </c>
      <c r="AA59" s="314" t="str">
        <f>IFERROR(ROUND(((Y59+M59)-(C59*6))/(C59*6),3),"0.0%")</f>
        <v>0.0%</v>
      </c>
      <c r="AB59" s="406">
        <f>SUM(AB35:AB57)</f>
        <v>0</v>
      </c>
      <c r="AC59" s="271" t="str">
        <f>IFERROR(ROUND((AB59-C59)/C59,3),"0.0%")</f>
        <v>0.0%</v>
      </c>
      <c r="AD59" s="314" t="str">
        <f>IFERROR(ROUND(((AB59+Y59+M59)-(C59*7))/(C59*7),3),"0.0%")</f>
        <v>0.0%</v>
      </c>
      <c r="AE59" s="406">
        <f>SUM(AE35:AE57)</f>
        <v>0</v>
      </c>
      <c r="AF59" s="271" t="str">
        <f>IFERROR(ROUND((AE59-C59)/C59,3),"0.0%")</f>
        <v>0.0%</v>
      </c>
      <c r="AG59" s="314" t="str">
        <f>IFERROR(ROUND(((AE59+AB59+Y59+M59)-(C59*8))/(C59*8),3),"0.0%")</f>
        <v>0.0%</v>
      </c>
      <c r="AH59" s="406">
        <f>SUM(AH35:AH57)</f>
        <v>0</v>
      </c>
      <c r="AI59" s="271" t="str">
        <f>IFERROR(ROUND((AH59-C59)/C59,3),"0.0%")</f>
        <v>0.0%</v>
      </c>
      <c r="AJ59" s="314" t="str">
        <f>IFERROR(ROUND(((AH59+AE59+AB59+Y59+M59)-(C59*9))/(C59*9),3),"0.0%")</f>
        <v>0.0%</v>
      </c>
      <c r="AK59" s="406">
        <f t="shared" si="87"/>
        <v>0</v>
      </c>
      <c r="AL59" s="271" t="str">
        <f>IFERROR(ROUND((AK59-(C59*3))/(C59*3),3),"0.0%")</f>
        <v>0.0%</v>
      </c>
      <c r="AM59" s="314" t="str">
        <f>IFERROR(ROUND(((AK59+Y59+M59)-(C59*9))/(C59*9),3),"0.0%")</f>
        <v>0.0%</v>
      </c>
      <c r="AN59" s="406">
        <f>SUM(AN35:AN57)</f>
        <v>0</v>
      </c>
      <c r="AO59" s="271" t="str">
        <f>IFERROR(ROUND((AN59-C59)/C59,3),"0.0%")</f>
        <v>0.0%</v>
      </c>
      <c r="AP59" s="314" t="str">
        <f>IFERROR(ROUND(((AN59+AK59+Y59+M59)-(C59*10))/(C59*10),3),"0.0%")</f>
        <v>0.0%</v>
      </c>
      <c r="AQ59" s="406">
        <f>SUM(AQ35:AQ57)</f>
        <v>0</v>
      </c>
      <c r="AR59" s="271" t="str">
        <f>IFERROR(ROUND((AQ59-C59)/C59,3),"0.0%")</f>
        <v>0.0%</v>
      </c>
      <c r="AS59" s="314" t="str">
        <f>IFERROR(ROUND(((AQ59+AN59+AK59+Y59+M59)-(C59*11))/(C59*11),3),"0.0%")</f>
        <v>0.0%</v>
      </c>
      <c r="AT59" s="406">
        <f>SUM(AT35:AT57)</f>
        <v>0</v>
      </c>
      <c r="AU59" s="271" t="str">
        <f>IFERROR(ROUND((AT59-C59)/C59,3),"0.0%")</f>
        <v>0.0%</v>
      </c>
      <c r="AV59" s="314" t="str">
        <f>IFERROR(ROUND(((AT59+AQ59+AN59+AK59+Y59+M59)-(C59*12))/(C59*12),3),"0.0%")</f>
        <v>0.0%</v>
      </c>
      <c r="AW59" s="406">
        <f>SUM(AW35:AW57)</f>
        <v>0</v>
      </c>
      <c r="AX59" s="271" t="str">
        <f>IFERROR(ROUND((AW59-(C59*3))/(C59*3),3),"0.0%")</f>
        <v>0.0%</v>
      </c>
      <c r="AY59" s="315" t="str">
        <f>IFERROR(ROUND(((AW59+AK59+Y59+M59)-(C59*12))/(C59*12),3),"0.0%")</f>
        <v>0.0%</v>
      </c>
      <c r="AZ59" s="406">
        <f>M59</f>
        <v>0</v>
      </c>
      <c r="BA59" s="271" t="str">
        <f>N59</f>
        <v>0.0%</v>
      </c>
      <c r="BB59" s="314" t="str">
        <f>O59</f>
        <v>0.0%</v>
      </c>
      <c r="BC59" s="406">
        <f>Y59</f>
        <v>0</v>
      </c>
      <c r="BD59" s="271" t="str">
        <f>Z59</f>
        <v>0.0%</v>
      </c>
      <c r="BE59" s="314" t="str">
        <f>AA59</f>
        <v>0.0%</v>
      </c>
      <c r="BF59" s="406">
        <f>AK59</f>
        <v>0</v>
      </c>
      <c r="BG59" s="271" t="str">
        <f>AL59</f>
        <v>0.0%</v>
      </c>
      <c r="BH59" s="314" t="str">
        <f>AM59</f>
        <v>0.0%</v>
      </c>
      <c r="BI59" s="406">
        <f>AW59</f>
        <v>0</v>
      </c>
      <c r="BJ59" s="271" t="str">
        <f>AX59</f>
        <v>0.0%</v>
      </c>
      <c r="BK59" s="314" t="str">
        <f>AY59</f>
        <v>0.0%</v>
      </c>
      <c r="BL59" s="406">
        <f>ROUND(AZ59+BC59+BF59+BI59,0)</f>
        <v>0</v>
      </c>
      <c r="BM59" s="324" t="str">
        <f>IFERROR(ROUND((BL59-B59)/B59,3),"0.0%")</f>
        <v>0.0%</v>
      </c>
    </row>
    <row r="60" spans="1:65" s="234" customFormat="1" thickBot="1" x14ac:dyDescent="0.25">
      <c r="A60" s="326"/>
      <c r="B60" s="407"/>
      <c r="C60" s="279"/>
      <c r="D60" s="407"/>
      <c r="E60" s="327"/>
      <c r="F60" s="328"/>
      <c r="G60" s="408"/>
      <c r="H60" s="316"/>
      <c r="I60" s="317"/>
      <c r="J60" s="408"/>
      <c r="K60" s="316"/>
      <c r="L60" s="317"/>
      <c r="M60" s="408"/>
      <c r="N60" s="316"/>
      <c r="O60" s="317"/>
      <c r="P60" s="408"/>
      <c r="Q60" s="316"/>
      <c r="R60" s="317"/>
      <c r="S60" s="408"/>
      <c r="T60" s="316"/>
      <c r="U60" s="317"/>
      <c r="V60" s="316"/>
      <c r="W60" s="316"/>
      <c r="X60" s="316"/>
      <c r="Y60" s="316"/>
      <c r="Z60" s="316"/>
      <c r="AA60" s="316"/>
      <c r="AB60" s="316"/>
      <c r="AC60" s="316"/>
      <c r="AD60" s="316"/>
      <c r="AE60" s="408"/>
      <c r="AF60" s="316"/>
      <c r="AG60" s="317"/>
      <c r="AH60" s="408"/>
      <c r="AI60" s="316"/>
      <c r="AJ60" s="317"/>
      <c r="AK60" s="408"/>
      <c r="AL60" s="316"/>
      <c r="AM60" s="317"/>
      <c r="AN60" s="408"/>
      <c r="AO60" s="316"/>
      <c r="AP60" s="317"/>
      <c r="AQ60" s="408"/>
      <c r="AR60" s="316"/>
      <c r="AS60" s="317"/>
      <c r="AT60" s="408"/>
      <c r="AU60" s="316"/>
      <c r="AV60" s="317"/>
      <c r="AW60" s="408"/>
      <c r="AX60" s="316"/>
      <c r="AY60" s="317"/>
      <c r="AZ60" s="408"/>
      <c r="BA60" s="316"/>
      <c r="BB60" s="317"/>
      <c r="BC60" s="408"/>
      <c r="BD60" s="316"/>
      <c r="BE60" s="317"/>
      <c r="BF60" s="408"/>
      <c r="BG60" s="316"/>
      <c r="BH60" s="317"/>
      <c r="BI60" s="408"/>
      <c r="BJ60" s="316"/>
      <c r="BK60" s="317"/>
      <c r="BL60" s="408"/>
      <c r="BM60" s="316"/>
    </row>
    <row r="61" spans="1:65" s="234" customFormat="1" ht="13.5" thickTop="1" thickBot="1" x14ac:dyDescent="0.25">
      <c r="A61" s="240"/>
      <c r="B61" s="297"/>
      <c r="C61" s="297"/>
      <c r="D61" s="297"/>
      <c r="E61" s="272"/>
      <c r="F61" s="272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  <c r="W61" s="296"/>
      <c r="X61" s="296"/>
      <c r="Y61" s="296"/>
      <c r="Z61" s="296"/>
      <c r="AA61" s="296"/>
      <c r="AB61" s="296"/>
      <c r="AC61" s="296"/>
      <c r="AD61" s="296"/>
      <c r="AE61" s="296"/>
      <c r="AF61" s="296"/>
      <c r="AG61" s="296"/>
      <c r="AH61" s="296"/>
      <c r="AI61" s="296"/>
      <c r="AJ61" s="296"/>
      <c r="AK61" s="296"/>
      <c r="AL61" s="296"/>
      <c r="AM61" s="296"/>
      <c r="AN61" s="296"/>
      <c r="AO61" s="296"/>
      <c r="AP61" s="296"/>
      <c r="AQ61" s="296"/>
      <c r="AR61" s="296"/>
      <c r="AS61" s="296"/>
      <c r="AT61" s="296"/>
      <c r="AU61" s="296"/>
      <c r="AV61" s="296"/>
      <c r="AW61" s="296"/>
      <c r="AX61" s="296"/>
      <c r="AY61" s="296"/>
      <c r="AZ61" s="296"/>
      <c r="BA61" s="296"/>
      <c r="BB61" s="296"/>
      <c r="BC61" s="296"/>
      <c r="BD61" s="296"/>
      <c r="BE61" s="296"/>
      <c r="BF61" s="296"/>
      <c r="BG61" s="296"/>
      <c r="BH61" s="296"/>
      <c r="BI61" s="296"/>
      <c r="BJ61" s="296"/>
      <c r="BK61" s="296"/>
      <c r="BL61" s="296"/>
      <c r="BM61" s="296"/>
    </row>
    <row r="62" spans="1:65" s="233" customFormat="1" ht="16.5" customHeight="1" thickBot="1" x14ac:dyDescent="0.25">
      <c r="A62" s="507" t="s">
        <v>425</v>
      </c>
      <c r="B62" s="508"/>
      <c r="C62" s="509"/>
      <c r="D62" s="379"/>
      <c r="E62" s="280"/>
      <c r="F62" s="281"/>
      <c r="G62" s="375"/>
      <c r="H62" s="298"/>
      <c r="I62" s="299"/>
      <c r="J62" s="375"/>
      <c r="K62" s="298"/>
      <c r="L62" s="299"/>
      <c r="M62" s="375"/>
      <c r="N62" s="298"/>
      <c r="O62" s="299"/>
      <c r="P62" s="375"/>
      <c r="Q62" s="298"/>
      <c r="R62" s="298"/>
      <c r="S62" s="375"/>
      <c r="T62" s="298"/>
      <c r="U62" s="299"/>
      <c r="V62" s="380"/>
      <c r="W62" s="298"/>
      <c r="X62" s="298"/>
      <c r="Y62" s="375"/>
      <c r="Z62" s="298"/>
      <c r="AA62" s="299"/>
      <c r="AB62" s="375"/>
      <c r="AC62" s="298"/>
      <c r="AD62" s="299"/>
      <c r="AE62" s="375"/>
      <c r="AF62" s="298"/>
      <c r="AG62" s="299"/>
      <c r="AH62" s="375"/>
      <c r="AI62" s="298"/>
      <c r="AJ62" s="299"/>
      <c r="AK62" s="375"/>
      <c r="AL62" s="298"/>
      <c r="AM62" s="299"/>
      <c r="AN62" s="375"/>
      <c r="AO62" s="298"/>
      <c r="AP62" s="299"/>
      <c r="AQ62" s="375"/>
      <c r="AR62" s="298"/>
      <c r="AS62" s="299"/>
      <c r="AT62" s="375"/>
      <c r="AU62" s="298"/>
      <c r="AV62" s="299"/>
      <c r="AW62" s="375"/>
      <c r="AX62" s="298"/>
      <c r="AY62" s="299"/>
      <c r="AZ62" s="375"/>
      <c r="BA62" s="298"/>
      <c r="BB62" s="298"/>
      <c r="BC62" s="375"/>
      <c r="BD62" s="298"/>
      <c r="BE62" s="298"/>
      <c r="BF62" s="375"/>
      <c r="BG62" s="298"/>
      <c r="BH62" s="298"/>
      <c r="BI62" s="375"/>
      <c r="BJ62" s="298"/>
      <c r="BK62" s="298"/>
      <c r="BL62" s="375"/>
      <c r="BM62" s="299"/>
    </row>
    <row r="63" spans="1:65" s="233" customFormat="1" ht="12" x14ac:dyDescent="0.2">
      <c r="A63" s="244" t="s">
        <v>426</v>
      </c>
      <c r="B63" s="381"/>
      <c r="C63" s="382">
        <f>ROUND(B63/12,0)</f>
        <v>0</v>
      </c>
      <c r="D63" s="381"/>
      <c r="E63" s="258" t="str">
        <f t="shared" ref="E63:E84" si="105">IFERROR(ROUND((D63-C63)/C63,3),"0.0%")</f>
        <v>0.0%</v>
      </c>
      <c r="F63" s="259" t="str">
        <f>IFERROR(ROUND((D63-C63)/C63,3),"0.0%")</f>
        <v>0.0%</v>
      </c>
      <c r="G63" s="381"/>
      <c r="H63" s="258" t="str">
        <f>IFERROR(ROUND((G63-C63)/C63,3),"0.0%")</f>
        <v>0.0%</v>
      </c>
      <c r="I63" s="259" t="str">
        <f>IFERROR(ROUND(((G63+D63)-(C63*2))/(C63*2),3),"0.0%")</f>
        <v>0.0%</v>
      </c>
      <c r="J63" s="381"/>
      <c r="K63" s="302" t="str">
        <f t="shared" ref="K63:K84" si="106">IFERROR(ROUND((J63-C63)/C63,3),"0.0%")</f>
        <v>0.0%</v>
      </c>
      <c r="L63" s="286" t="str">
        <f t="shared" ref="L63:L84" si="107">IFERROR(ROUND(((J63+G63+D63)-(C63*3))/(C63*3),3),"0.0%")</f>
        <v>0.0%</v>
      </c>
      <c r="M63" s="384">
        <f>ROUND(D63+G63+J63,0)</f>
        <v>0</v>
      </c>
      <c r="N63" s="302" t="str">
        <f>IFERROR(ROUND((M63-(C63*3))/(C63*3),3),"0.0%")</f>
        <v>0.0%</v>
      </c>
      <c r="O63" s="287" t="str">
        <f>IFERROR(ROUND(((M63)-(C63*3))/(C63*3),3),"0.0%")</f>
        <v>0.0%</v>
      </c>
      <c r="P63" s="381"/>
      <c r="Q63" s="258" t="str">
        <f>IFERROR(ROUND((P63-C63)/C63,3),"0.0%")</f>
        <v>0.0%</v>
      </c>
      <c r="R63" s="259" t="str">
        <f>IFERROR(ROUND(((P63+M63)-(C63*4))/(C63*4),3),"0.0%")</f>
        <v>0.0%</v>
      </c>
      <c r="S63" s="381"/>
      <c r="T63" s="258" t="str">
        <f t="shared" ref="T63:T84" si="108">IFERROR(ROUND((S63-C63)/C63,3),"0.0%")</f>
        <v>0.0%</v>
      </c>
      <c r="U63" s="306" t="str">
        <f t="shared" ref="U63:U84" si="109">IFERROR(ROUND(((S63+P63+M63)-(C63*5))/(C63*5),3),"0.0%")</f>
        <v>0.0%</v>
      </c>
      <c r="V63" s="381"/>
      <c r="W63" s="258" t="str">
        <f>IFERROR(ROUND((V63-C63)/C63,3),"0.0%")</f>
        <v>0.0%</v>
      </c>
      <c r="X63" s="306" t="str">
        <f>IFERROR(ROUND(((V63+S63+P63+M63)-(C63*6))/(C63*6),3),"0.0%")</f>
        <v>0.0%</v>
      </c>
      <c r="Y63" s="384">
        <f>ROUND(V63+S63+P63,0)</f>
        <v>0</v>
      </c>
      <c r="Z63" s="258" t="str">
        <f>IFERROR(ROUND((Y63-(C63*3))/(C63*3),3),"0.0%")</f>
        <v>0.0%</v>
      </c>
      <c r="AA63" s="306" t="str">
        <f>IFERROR(ROUND(((Y63+M63)-(C63*6))/(C63*6),3),"0.0%")</f>
        <v>0.0%</v>
      </c>
      <c r="AB63" s="381"/>
      <c r="AC63" s="258" t="str">
        <f t="shared" ref="AC63:AC84" si="110">IFERROR(ROUND((AB63-C63)/C63,3),"0.0%")</f>
        <v>0.0%</v>
      </c>
      <c r="AD63" s="306" t="str">
        <f t="shared" ref="AD63:AD84" si="111">IFERROR(ROUND(((AB63+Y63+M63)-(C63*7))/(C63*7),3),"0.0%")</f>
        <v>0.0%</v>
      </c>
      <c r="AE63" s="381"/>
      <c r="AF63" s="258" t="str">
        <f t="shared" ref="AF63:AF84" si="112">IFERROR(ROUND((AE63-C63)/C63,3),"0.0%")</f>
        <v>0.0%</v>
      </c>
      <c r="AG63" s="306" t="str">
        <f t="shared" ref="AG63:AG84" si="113">IFERROR(ROUND(((AE63+AB63+Y63+M63)-(C63*8))/(C63*8),3),"0.0%")</f>
        <v>0.0%</v>
      </c>
      <c r="AH63" s="381"/>
      <c r="AI63" s="258" t="str">
        <f>IFERROR(ROUND((AH63-C63)/C63,3),"0.0%")</f>
        <v>0.0%</v>
      </c>
      <c r="AJ63" s="306" t="str">
        <f>IFERROR(ROUND(((AH63+AE63+AB63+Y63+M63)-(C63*9))/(C63*9),3),"0.0%")</f>
        <v>0.0%</v>
      </c>
      <c r="AK63" s="391">
        <f>ROUND(AH63+AE63+AB63,0)</f>
        <v>0</v>
      </c>
      <c r="AL63" s="258" t="str">
        <f t="shared" ref="AL63:AL84" si="114">IFERROR(ROUND((AK63-(C63*3))/(C63*3),3),"0.0%")</f>
        <v>0.0%</v>
      </c>
      <c r="AM63" s="306" t="str">
        <f t="shared" ref="AM63:AM84" si="115">IFERROR(ROUND(((AK63+Y63+M63)-(C63*9))/(C63*9),3),"0.0%")</f>
        <v>0.0%</v>
      </c>
      <c r="AN63" s="381"/>
      <c r="AO63" s="258" t="str">
        <f>IFERROR(ROUND((AN63-C63)/C63,3),"0.0%")</f>
        <v>0.0%</v>
      </c>
      <c r="AP63" s="306" t="str">
        <f>IFERROR(ROUND(((AN63+AK63+Y63+M63)-(C63*10))/(C63*10),3),"0.0%")</f>
        <v>0.0%</v>
      </c>
      <c r="AQ63" s="381"/>
      <c r="AR63" s="258" t="str">
        <f t="shared" ref="AR63:AR84" si="116">IFERROR(ROUND((AQ63-C63)/C63,3),"0.0%")</f>
        <v>0.0%</v>
      </c>
      <c r="AS63" s="306" t="str">
        <f t="shared" ref="AS63:AS84" si="117">IFERROR(ROUND(((AQ63+AN63+AK63+Y63+M63)-(C63*11))/(C63*11),3),"0.0%")</f>
        <v>0.0%</v>
      </c>
      <c r="AT63" s="381"/>
      <c r="AU63" s="258" t="str">
        <f>IFERROR(ROUND((AT63-C63)/C63,3),"0.0%")</f>
        <v>0.0%</v>
      </c>
      <c r="AV63" s="306" t="str">
        <f>IFERROR(ROUND(((AT63+AQ63+AN63+AK63+Y63+M63)-(C63*12))/(C63*12),3),"0.0%")</f>
        <v>0.0%</v>
      </c>
      <c r="AW63" s="384">
        <f>ROUND(AT63+AQ63+AN63,0)</f>
        <v>0</v>
      </c>
      <c r="AX63" s="258" t="str">
        <f t="shared" ref="AX63:AX84" si="118">IFERROR(ROUND((AW63-(C63*3))/(C63*3),3),"0.0%")</f>
        <v>0.0%</v>
      </c>
      <c r="AY63" s="306" t="str">
        <f t="shared" ref="AY63:AY84" si="119">IFERROR(ROUND(((AW63+AK63+Y63+M63)-(C63*12))/(C63*12),3),"0.0%")</f>
        <v>0.0%</v>
      </c>
      <c r="AZ63" s="384">
        <f>M63</f>
        <v>0</v>
      </c>
      <c r="BA63" s="258" t="str">
        <f t="shared" ref="BA63:BA84" si="120">N63</f>
        <v>0.0%</v>
      </c>
      <c r="BB63" s="259" t="str">
        <f t="shared" ref="BB63:BB84" si="121">O63</f>
        <v>0.0%</v>
      </c>
      <c r="BC63" s="384">
        <f>Y63</f>
        <v>0</v>
      </c>
      <c r="BD63" s="258" t="str">
        <f>Z63</f>
        <v>0.0%</v>
      </c>
      <c r="BE63" s="259" t="str">
        <f>AA63</f>
        <v>0.0%</v>
      </c>
      <c r="BF63" s="384">
        <f>AK63</f>
        <v>0</v>
      </c>
      <c r="BG63" s="258" t="str">
        <f>AL63</f>
        <v>0.0%</v>
      </c>
      <c r="BH63" s="259" t="str">
        <f>AM63</f>
        <v>0.0%</v>
      </c>
      <c r="BI63" s="384">
        <f>AW63</f>
        <v>0</v>
      </c>
      <c r="BJ63" s="258" t="str">
        <f>AX63</f>
        <v>0.0%</v>
      </c>
      <c r="BK63" s="259" t="str">
        <f>AY63</f>
        <v>0.0%</v>
      </c>
      <c r="BL63" s="384">
        <f>ROUND(AZ63+BC63+BF63+BI63,0)</f>
        <v>0</v>
      </c>
      <c r="BM63" s="258" t="str">
        <f>IFERROR(ROUND((BL63-B63)/B63,3),"0.0%")</f>
        <v>0.0%</v>
      </c>
    </row>
    <row r="64" spans="1:65" s="233" customFormat="1" ht="12" x14ac:dyDescent="0.2">
      <c r="A64" s="242" t="s">
        <v>155</v>
      </c>
      <c r="B64" s="386"/>
      <c r="C64" s="387">
        <f t="shared" ref="C64:C96" si="122">ROUND(B64/12,0)</f>
        <v>0</v>
      </c>
      <c r="D64" s="386"/>
      <c r="E64" s="260" t="str">
        <f t="shared" si="105"/>
        <v>0.0%</v>
      </c>
      <c r="F64" s="261" t="str">
        <f t="shared" ref="F64:F84" si="123">IFERROR(ROUND((D64-C64)/C64,3),"0.0%")</f>
        <v>0.0%</v>
      </c>
      <c r="G64" s="386"/>
      <c r="H64" s="260" t="str">
        <f t="shared" ref="H64:H84" si="124">IFERROR(ROUND((G64-C64)/C64,3),"0.0%")</f>
        <v>0.0%</v>
      </c>
      <c r="I64" s="261" t="str">
        <f t="shared" ref="I64:I84" si="125">IFERROR(ROUND(((G64+D64)-(C64*2))/(C64*2),3),"0.0%")</f>
        <v>0.0%</v>
      </c>
      <c r="J64" s="386"/>
      <c r="K64" s="303" t="str">
        <f t="shared" si="106"/>
        <v>0.0%</v>
      </c>
      <c r="L64" s="282" t="str">
        <f t="shared" si="107"/>
        <v>0.0%</v>
      </c>
      <c r="M64" s="391">
        <f t="shared" ref="M64:M84" si="126">ROUND(D64+G64+J64,0)</f>
        <v>0</v>
      </c>
      <c r="N64" s="303" t="str">
        <f t="shared" ref="N64:N84" si="127">IFERROR(ROUND((M64-(C64*3))/(C64*3),3),"0.0%")</f>
        <v>0.0%</v>
      </c>
      <c r="O64" s="283" t="str">
        <f t="shared" ref="O64:O84" si="128">IFERROR(ROUND(((M64)-(C64*3))/(C64*3),3),"0.0%")</f>
        <v>0.0%</v>
      </c>
      <c r="P64" s="386"/>
      <c r="Q64" s="260" t="str">
        <f t="shared" ref="Q64:Q84" si="129">IFERROR(ROUND((P64-C64)/C64,3),"0.0%")</f>
        <v>0.0%</v>
      </c>
      <c r="R64" s="261" t="str">
        <f t="shared" ref="R64:R84" si="130">IFERROR(ROUND(((P64+M64)-(C64*4))/(C64*4),3),"0.0%")</f>
        <v>0.0%</v>
      </c>
      <c r="S64" s="386"/>
      <c r="T64" s="260" t="str">
        <f t="shared" si="108"/>
        <v>0.0%</v>
      </c>
      <c r="U64" s="307" t="str">
        <f t="shared" si="109"/>
        <v>0.0%</v>
      </c>
      <c r="V64" s="386"/>
      <c r="W64" s="260" t="str">
        <f t="shared" ref="W64:W84" si="131">IFERROR(ROUND((V64-C64)/C64,3),"0.0%")</f>
        <v>0.0%</v>
      </c>
      <c r="X64" s="307" t="str">
        <f t="shared" ref="X64:X84" si="132">IFERROR(ROUND(((V64+S64+P64+M64)-(C64*6))/(C64*6),3),"0.0%")</f>
        <v>0.0%</v>
      </c>
      <c r="Y64" s="391">
        <f t="shared" ref="Y64:Y84" si="133">ROUND(V64+S64+P64,0)</f>
        <v>0</v>
      </c>
      <c r="Z64" s="260" t="str">
        <f t="shared" ref="Z64:Z84" si="134">IFERROR(ROUND((Y64-(C64*3))/(C64*3),3),"0.0%")</f>
        <v>0.0%</v>
      </c>
      <c r="AA64" s="307" t="str">
        <f t="shared" ref="AA64:AA84" si="135">IFERROR(ROUND(((Y64+M64)-(C64*6))/(C64*6),3),"0.0%")</f>
        <v>0.0%</v>
      </c>
      <c r="AB64" s="386"/>
      <c r="AC64" s="260" t="str">
        <f t="shared" si="110"/>
        <v>0.0%</v>
      </c>
      <c r="AD64" s="307" t="str">
        <f t="shared" si="111"/>
        <v>0.0%</v>
      </c>
      <c r="AE64" s="386"/>
      <c r="AF64" s="260" t="str">
        <f t="shared" si="112"/>
        <v>0.0%</v>
      </c>
      <c r="AG64" s="307" t="str">
        <f t="shared" si="113"/>
        <v>0.0%</v>
      </c>
      <c r="AH64" s="386"/>
      <c r="AI64" s="260" t="str">
        <f t="shared" ref="AI64:AI84" si="136">IFERROR(ROUND((AH64-C64)/C64,3),"0.0%")</f>
        <v>0.0%</v>
      </c>
      <c r="AJ64" s="307" t="str">
        <f t="shared" ref="AJ64:AJ84" si="137">IFERROR(ROUND(((AH64+AE64+AB64+Y64+M64)-(C64*9))/(C64*9),3),"0.0%")</f>
        <v>0.0%</v>
      </c>
      <c r="AK64" s="391">
        <f t="shared" ref="AK64:AK93" si="138">ROUND(AH64+AE64+AB64,0)</f>
        <v>0</v>
      </c>
      <c r="AL64" s="260" t="str">
        <f t="shared" si="114"/>
        <v>0.0%</v>
      </c>
      <c r="AM64" s="307" t="str">
        <f t="shared" si="115"/>
        <v>0.0%</v>
      </c>
      <c r="AN64" s="386"/>
      <c r="AO64" s="260" t="str">
        <f t="shared" ref="AO64:AO84" si="139">IFERROR(ROUND((AN64-C64)/C64,3),"0.0%")</f>
        <v>0.0%</v>
      </c>
      <c r="AP64" s="307" t="str">
        <f t="shared" ref="AP64:AP84" si="140">IFERROR(ROUND(((AN64+AK64+Y64+M64)-(C64*10))/(C64*10),3),"0.0%")</f>
        <v>0.0%</v>
      </c>
      <c r="AQ64" s="386"/>
      <c r="AR64" s="260" t="str">
        <f t="shared" si="116"/>
        <v>0.0%</v>
      </c>
      <c r="AS64" s="307" t="str">
        <f t="shared" si="117"/>
        <v>0.0%</v>
      </c>
      <c r="AT64" s="386"/>
      <c r="AU64" s="260" t="str">
        <f t="shared" ref="AU64:AU84" si="141">IFERROR(ROUND((AT64-C64)/C64,3),"0.0%")</f>
        <v>0.0%</v>
      </c>
      <c r="AV64" s="307" t="str">
        <f t="shared" ref="AV64:AV84" si="142">IFERROR(ROUND(((AT64+AQ64+AN64+AK64+Y64+M64)-(C64*12))/(C64*12),3),"0.0%")</f>
        <v>0.0%</v>
      </c>
      <c r="AW64" s="391">
        <f t="shared" ref="AW64:AW84" si="143">ROUND(AT64+AQ64+AN64,0)</f>
        <v>0</v>
      </c>
      <c r="AX64" s="260" t="str">
        <f t="shared" si="118"/>
        <v>0.0%</v>
      </c>
      <c r="AY64" s="307" t="str">
        <f t="shared" si="119"/>
        <v>0.0%</v>
      </c>
      <c r="AZ64" s="391">
        <f t="shared" ref="AZ64:AZ84" si="144">M64</f>
        <v>0</v>
      </c>
      <c r="BA64" s="260" t="str">
        <f t="shared" si="120"/>
        <v>0.0%</v>
      </c>
      <c r="BB64" s="261" t="str">
        <f t="shared" si="121"/>
        <v>0.0%</v>
      </c>
      <c r="BC64" s="391">
        <f t="shared" ref="BC64:BC84" si="145">Y64</f>
        <v>0</v>
      </c>
      <c r="BD64" s="260" t="str">
        <f t="shared" ref="BD64:BD84" si="146">Z64</f>
        <v>0.0%</v>
      </c>
      <c r="BE64" s="261" t="str">
        <f t="shared" ref="BE64:BE84" si="147">AA64</f>
        <v>0.0%</v>
      </c>
      <c r="BF64" s="391">
        <f t="shared" ref="BF64:BF84" si="148">AK64</f>
        <v>0</v>
      </c>
      <c r="BG64" s="260" t="str">
        <f t="shared" ref="BG64:BG84" si="149">AL64</f>
        <v>0.0%</v>
      </c>
      <c r="BH64" s="261" t="str">
        <f t="shared" ref="BH64:BH84" si="150">AM64</f>
        <v>0.0%</v>
      </c>
      <c r="BI64" s="391">
        <f t="shared" ref="BI64:BI84" si="151">AW64</f>
        <v>0</v>
      </c>
      <c r="BJ64" s="260" t="str">
        <f t="shared" ref="BJ64:BJ84" si="152">AX64</f>
        <v>0.0%</v>
      </c>
      <c r="BK64" s="261" t="str">
        <f t="shared" ref="BK64:BK84" si="153">AY64</f>
        <v>0.0%</v>
      </c>
      <c r="BL64" s="391">
        <f t="shared" ref="BL64:BL84" si="154">ROUND(AZ64+BC64+BF64+BI64,0)</f>
        <v>0</v>
      </c>
      <c r="BM64" s="260" t="str">
        <f t="shared" ref="BM64:BM84" si="155">IFERROR(ROUND((BL64-B64)/B64,3),"0.0%")</f>
        <v>0.0%</v>
      </c>
    </row>
    <row r="65" spans="1:65" s="233" customFormat="1" ht="12" x14ac:dyDescent="0.2">
      <c r="A65" s="245" t="s">
        <v>154</v>
      </c>
      <c r="B65" s="386"/>
      <c r="C65" s="387">
        <f t="shared" si="122"/>
        <v>0</v>
      </c>
      <c r="D65" s="386"/>
      <c r="E65" s="260" t="str">
        <f t="shared" si="105"/>
        <v>0.0%</v>
      </c>
      <c r="F65" s="261" t="str">
        <f t="shared" si="123"/>
        <v>0.0%</v>
      </c>
      <c r="G65" s="386"/>
      <c r="H65" s="260" t="str">
        <f t="shared" si="124"/>
        <v>0.0%</v>
      </c>
      <c r="I65" s="261" t="str">
        <f t="shared" si="125"/>
        <v>0.0%</v>
      </c>
      <c r="J65" s="386"/>
      <c r="K65" s="303" t="str">
        <f t="shared" si="106"/>
        <v>0.0%</v>
      </c>
      <c r="L65" s="282" t="str">
        <f t="shared" si="107"/>
        <v>0.0%</v>
      </c>
      <c r="M65" s="391">
        <f t="shared" si="126"/>
        <v>0</v>
      </c>
      <c r="N65" s="303" t="str">
        <f t="shared" si="127"/>
        <v>0.0%</v>
      </c>
      <c r="O65" s="283" t="str">
        <f t="shared" si="128"/>
        <v>0.0%</v>
      </c>
      <c r="P65" s="386"/>
      <c r="Q65" s="260" t="str">
        <f t="shared" si="129"/>
        <v>0.0%</v>
      </c>
      <c r="R65" s="261" t="str">
        <f t="shared" si="130"/>
        <v>0.0%</v>
      </c>
      <c r="S65" s="386"/>
      <c r="T65" s="260" t="str">
        <f t="shared" si="108"/>
        <v>0.0%</v>
      </c>
      <c r="U65" s="307" t="str">
        <f t="shared" si="109"/>
        <v>0.0%</v>
      </c>
      <c r="V65" s="386"/>
      <c r="W65" s="260" t="str">
        <f t="shared" si="131"/>
        <v>0.0%</v>
      </c>
      <c r="X65" s="307" t="str">
        <f t="shared" si="132"/>
        <v>0.0%</v>
      </c>
      <c r="Y65" s="391">
        <f t="shared" si="133"/>
        <v>0</v>
      </c>
      <c r="Z65" s="260" t="str">
        <f t="shared" si="134"/>
        <v>0.0%</v>
      </c>
      <c r="AA65" s="307" t="str">
        <f t="shared" si="135"/>
        <v>0.0%</v>
      </c>
      <c r="AB65" s="386"/>
      <c r="AC65" s="260" t="str">
        <f t="shared" si="110"/>
        <v>0.0%</v>
      </c>
      <c r="AD65" s="307" t="str">
        <f t="shared" si="111"/>
        <v>0.0%</v>
      </c>
      <c r="AE65" s="386"/>
      <c r="AF65" s="260" t="str">
        <f t="shared" si="112"/>
        <v>0.0%</v>
      </c>
      <c r="AG65" s="307" t="str">
        <f t="shared" si="113"/>
        <v>0.0%</v>
      </c>
      <c r="AH65" s="386"/>
      <c r="AI65" s="260" t="str">
        <f t="shared" si="136"/>
        <v>0.0%</v>
      </c>
      <c r="AJ65" s="307" t="str">
        <f t="shared" si="137"/>
        <v>0.0%</v>
      </c>
      <c r="AK65" s="391">
        <f t="shared" si="138"/>
        <v>0</v>
      </c>
      <c r="AL65" s="260" t="str">
        <f t="shared" si="114"/>
        <v>0.0%</v>
      </c>
      <c r="AM65" s="307" t="str">
        <f t="shared" si="115"/>
        <v>0.0%</v>
      </c>
      <c r="AN65" s="386"/>
      <c r="AO65" s="260" t="str">
        <f t="shared" si="139"/>
        <v>0.0%</v>
      </c>
      <c r="AP65" s="307" t="str">
        <f t="shared" si="140"/>
        <v>0.0%</v>
      </c>
      <c r="AQ65" s="386"/>
      <c r="AR65" s="260" t="str">
        <f t="shared" si="116"/>
        <v>0.0%</v>
      </c>
      <c r="AS65" s="307" t="str">
        <f t="shared" si="117"/>
        <v>0.0%</v>
      </c>
      <c r="AT65" s="386"/>
      <c r="AU65" s="260" t="str">
        <f t="shared" si="141"/>
        <v>0.0%</v>
      </c>
      <c r="AV65" s="307" t="str">
        <f t="shared" si="142"/>
        <v>0.0%</v>
      </c>
      <c r="AW65" s="391">
        <f t="shared" si="143"/>
        <v>0</v>
      </c>
      <c r="AX65" s="260" t="str">
        <f t="shared" si="118"/>
        <v>0.0%</v>
      </c>
      <c r="AY65" s="307" t="str">
        <f t="shared" si="119"/>
        <v>0.0%</v>
      </c>
      <c r="AZ65" s="391">
        <f t="shared" si="144"/>
        <v>0</v>
      </c>
      <c r="BA65" s="260" t="str">
        <f t="shared" si="120"/>
        <v>0.0%</v>
      </c>
      <c r="BB65" s="261" t="str">
        <f t="shared" si="121"/>
        <v>0.0%</v>
      </c>
      <c r="BC65" s="391">
        <f t="shared" si="145"/>
        <v>0</v>
      </c>
      <c r="BD65" s="260" t="str">
        <f t="shared" si="146"/>
        <v>0.0%</v>
      </c>
      <c r="BE65" s="261" t="str">
        <f t="shared" si="147"/>
        <v>0.0%</v>
      </c>
      <c r="BF65" s="391">
        <f t="shared" si="148"/>
        <v>0</v>
      </c>
      <c r="BG65" s="260" t="str">
        <f t="shared" si="149"/>
        <v>0.0%</v>
      </c>
      <c r="BH65" s="261" t="str">
        <f t="shared" si="150"/>
        <v>0.0%</v>
      </c>
      <c r="BI65" s="391">
        <f t="shared" si="151"/>
        <v>0</v>
      </c>
      <c r="BJ65" s="260" t="str">
        <f t="shared" si="152"/>
        <v>0.0%</v>
      </c>
      <c r="BK65" s="261" t="str">
        <f t="shared" si="153"/>
        <v>0.0%</v>
      </c>
      <c r="BL65" s="391">
        <f t="shared" si="154"/>
        <v>0</v>
      </c>
      <c r="BM65" s="260" t="str">
        <f t="shared" si="155"/>
        <v>0.0%</v>
      </c>
    </row>
    <row r="66" spans="1:65" s="233" customFormat="1" ht="12" x14ac:dyDescent="0.2">
      <c r="A66" s="242" t="s">
        <v>156</v>
      </c>
      <c r="B66" s="386"/>
      <c r="C66" s="387">
        <f t="shared" si="122"/>
        <v>0</v>
      </c>
      <c r="D66" s="386"/>
      <c r="E66" s="260" t="str">
        <f t="shared" si="105"/>
        <v>0.0%</v>
      </c>
      <c r="F66" s="261" t="str">
        <f t="shared" si="123"/>
        <v>0.0%</v>
      </c>
      <c r="G66" s="386"/>
      <c r="H66" s="260" t="str">
        <f t="shared" si="124"/>
        <v>0.0%</v>
      </c>
      <c r="I66" s="261" t="str">
        <f t="shared" si="125"/>
        <v>0.0%</v>
      </c>
      <c r="J66" s="386"/>
      <c r="K66" s="303" t="str">
        <f t="shared" si="106"/>
        <v>0.0%</v>
      </c>
      <c r="L66" s="282" t="str">
        <f t="shared" si="107"/>
        <v>0.0%</v>
      </c>
      <c r="M66" s="391">
        <f t="shared" si="126"/>
        <v>0</v>
      </c>
      <c r="N66" s="303" t="str">
        <f t="shared" si="127"/>
        <v>0.0%</v>
      </c>
      <c r="O66" s="283" t="str">
        <f t="shared" si="128"/>
        <v>0.0%</v>
      </c>
      <c r="P66" s="386"/>
      <c r="Q66" s="260" t="str">
        <f t="shared" si="129"/>
        <v>0.0%</v>
      </c>
      <c r="R66" s="261" t="str">
        <f t="shared" si="130"/>
        <v>0.0%</v>
      </c>
      <c r="S66" s="386"/>
      <c r="T66" s="260" t="str">
        <f t="shared" si="108"/>
        <v>0.0%</v>
      </c>
      <c r="U66" s="307" t="str">
        <f t="shared" si="109"/>
        <v>0.0%</v>
      </c>
      <c r="V66" s="386"/>
      <c r="W66" s="260" t="str">
        <f t="shared" si="131"/>
        <v>0.0%</v>
      </c>
      <c r="X66" s="307" t="str">
        <f t="shared" si="132"/>
        <v>0.0%</v>
      </c>
      <c r="Y66" s="391">
        <f t="shared" si="133"/>
        <v>0</v>
      </c>
      <c r="Z66" s="260" t="str">
        <f t="shared" si="134"/>
        <v>0.0%</v>
      </c>
      <c r="AA66" s="307" t="str">
        <f t="shared" si="135"/>
        <v>0.0%</v>
      </c>
      <c r="AB66" s="386"/>
      <c r="AC66" s="260" t="str">
        <f t="shared" si="110"/>
        <v>0.0%</v>
      </c>
      <c r="AD66" s="307" t="str">
        <f t="shared" si="111"/>
        <v>0.0%</v>
      </c>
      <c r="AE66" s="386"/>
      <c r="AF66" s="260" t="str">
        <f t="shared" si="112"/>
        <v>0.0%</v>
      </c>
      <c r="AG66" s="307" t="str">
        <f t="shared" si="113"/>
        <v>0.0%</v>
      </c>
      <c r="AH66" s="386"/>
      <c r="AI66" s="260" t="str">
        <f t="shared" si="136"/>
        <v>0.0%</v>
      </c>
      <c r="AJ66" s="307" t="str">
        <f t="shared" si="137"/>
        <v>0.0%</v>
      </c>
      <c r="AK66" s="391">
        <f t="shared" si="138"/>
        <v>0</v>
      </c>
      <c r="AL66" s="260" t="str">
        <f t="shared" si="114"/>
        <v>0.0%</v>
      </c>
      <c r="AM66" s="307" t="str">
        <f t="shared" si="115"/>
        <v>0.0%</v>
      </c>
      <c r="AN66" s="386"/>
      <c r="AO66" s="260" t="str">
        <f t="shared" si="139"/>
        <v>0.0%</v>
      </c>
      <c r="AP66" s="307" t="str">
        <f t="shared" si="140"/>
        <v>0.0%</v>
      </c>
      <c r="AQ66" s="386"/>
      <c r="AR66" s="260" t="str">
        <f t="shared" si="116"/>
        <v>0.0%</v>
      </c>
      <c r="AS66" s="307" t="str">
        <f t="shared" si="117"/>
        <v>0.0%</v>
      </c>
      <c r="AT66" s="386"/>
      <c r="AU66" s="260" t="str">
        <f t="shared" si="141"/>
        <v>0.0%</v>
      </c>
      <c r="AV66" s="307" t="str">
        <f t="shared" si="142"/>
        <v>0.0%</v>
      </c>
      <c r="AW66" s="391">
        <f t="shared" si="143"/>
        <v>0</v>
      </c>
      <c r="AX66" s="260" t="str">
        <f t="shared" si="118"/>
        <v>0.0%</v>
      </c>
      <c r="AY66" s="307" t="str">
        <f t="shared" si="119"/>
        <v>0.0%</v>
      </c>
      <c r="AZ66" s="391">
        <f t="shared" si="144"/>
        <v>0</v>
      </c>
      <c r="BA66" s="260" t="str">
        <f t="shared" si="120"/>
        <v>0.0%</v>
      </c>
      <c r="BB66" s="261" t="str">
        <f t="shared" si="121"/>
        <v>0.0%</v>
      </c>
      <c r="BC66" s="391">
        <f t="shared" si="145"/>
        <v>0</v>
      </c>
      <c r="BD66" s="260" t="str">
        <f t="shared" si="146"/>
        <v>0.0%</v>
      </c>
      <c r="BE66" s="261" t="str">
        <f t="shared" si="147"/>
        <v>0.0%</v>
      </c>
      <c r="BF66" s="391">
        <f t="shared" si="148"/>
        <v>0</v>
      </c>
      <c r="BG66" s="260" t="str">
        <f t="shared" si="149"/>
        <v>0.0%</v>
      </c>
      <c r="BH66" s="261" t="str">
        <f t="shared" si="150"/>
        <v>0.0%</v>
      </c>
      <c r="BI66" s="391">
        <f t="shared" si="151"/>
        <v>0</v>
      </c>
      <c r="BJ66" s="260" t="str">
        <f t="shared" si="152"/>
        <v>0.0%</v>
      </c>
      <c r="BK66" s="261" t="str">
        <f t="shared" si="153"/>
        <v>0.0%</v>
      </c>
      <c r="BL66" s="391">
        <f t="shared" si="154"/>
        <v>0</v>
      </c>
      <c r="BM66" s="260" t="str">
        <f t="shared" si="155"/>
        <v>0.0%</v>
      </c>
    </row>
    <row r="67" spans="1:65" s="233" customFormat="1" ht="12" x14ac:dyDescent="0.2">
      <c r="A67" s="245" t="s">
        <v>157</v>
      </c>
      <c r="B67" s="386"/>
      <c r="C67" s="387">
        <f t="shared" si="122"/>
        <v>0</v>
      </c>
      <c r="D67" s="386"/>
      <c r="E67" s="260" t="str">
        <f t="shared" si="105"/>
        <v>0.0%</v>
      </c>
      <c r="F67" s="261" t="str">
        <f t="shared" si="123"/>
        <v>0.0%</v>
      </c>
      <c r="G67" s="386"/>
      <c r="H67" s="260" t="str">
        <f t="shared" si="124"/>
        <v>0.0%</v>
      </c>
      <c r="I67" s="261" t="str">
        <f t="shared" si="125"/>
        <v>0.0%</v>
      </c>
      <c r="J67" s="386"/>
      <c r="K67" s="303" t="str">
        <f t="shared" si="106"/>
        <v>0.0%</v>
      </c>
      <c r="L67" s="282" t="str">
        <f t="shared" si="107"/>
        <v>0.0%</v>
      </c>
      <c r="M67" s="391">
        <f t="shared" si="126"/>
        <v>0</v>
      </c>
      <c r="N67" s="303" t="str">
        <f t="shared" si="127"/>
        <v>0.0%</v>
      </c>
      <c r="O67" s="283" t="str">
        <f t="shared" si="128"/>
        <v>0.0%</v>
      </c>
      <c r="P67" s="386"/>
      <c r="Q67" s="260" t="str">
        <f t="shared" si="129"/>
        <v>0.0%</v>
      </c>
      <c r="R67" s="261" t="str">
        <f t="shared" si="130"/>
        <v>0.0%</v>
      </c>
      <c r="S67" s="386"/>
      <c r="T67" s="260" t="str">
        <f t="shared" si="108"/>
        <v>0.0%</v>
      </c>
      <c r="U67" s="307" t="str">
        <f t="shared" si="109"/>
        <v>0.0%</v>
      </c>
      <c r="V67" s="386"/>
      <c r="W67" s="260" t="str">
        <f t="shared" si="131"/>
        <v>0.0%</v>
      </c>
      <c r="X67" s="307" t="str">
        <f t="shared" si="132"/>
        <v>0.0%</v>
      </c>
      <c r="Y67" s="391">
        <f t="shared" si="133"/>
        <v>0</v>
      </c>
      <c r="Z67" s="260" t="str">
        <f t="shared" si="134"/>
        <v>0.0%</v>
      </c>
      <c r="AA67" s="307" t="str">
        <f t="shared" si="135"/>
        <v>0.0%</v>
      </c>
      <c r="AB67" s="386"/>
      <c r="AC67" s="260" t="str">
        <f t="shared" si="110"/>
        <v>0.0%</v>
      </c>
      <c r="AD67" s="307" t="str">
        <f t="shared" si="111"/>
        <v>0.0%</v>
      </c>
      <c r="AE67" s="386"/>
      <c r="AF67" s="260" t="str">
        <f t="shared" si="112"/>
        <v>0.0%</v>
      </c>
      <c r="AG67" s="307" t="str">
        <f t="shared" si="113"/>
        <v>0.0%</v>
      </c>
      <c r="AH67" s="386"/>
      <c r="AI67" s="260" t="str">
        <f t="shared" si="136"/>
        <v>0.0%</v>
      </c>
      <c r="AJ67" s="307" t="str">
        <f t="shared" si="137"/>
        <v>0.0%</v>
      </c>
      <c r="AK67" s="391">
        <f t="shared" si="138"/>
        <v>0</v>
      </c>
      <c r="AL67" s="260" t="str">
        <f t="shared" si="114"/>
        <v>0.0%</v>
      </c>
      <c r="AM67" s="307" t="str">
        <f t="shared" si="115"/>
        <v>0.0%</v>
      </c>
      <c r="AN67" s="386"/>
      <c r="AO67" s="260" t="str">
        <f t="shared" si="139"/>
        <v>0.0%</v>
      </c>
      <c r="AP67" s="307" t="str">
        <f t="shared" si="140"/>
        <v>0.0%</v>
      </c>
      <c r="AQ67" s="386"/>
      <c r="AR67" s="260" t="str">
        <f t="shared" si="116"/>
        <v>0.0%</v>
      </c>
      <c r="AS67" s="307" t="str">
        <f t="shared" si="117"/>
        <v>0.0%</v>
      </c>
      <c r="AT67" s="386"/>
      <c r="AU67" s="260" t="str">
        <f t="shared" si="141"/>
        <v>0.0%</v>
      </c>
      <c r="AV67" s="307" t="str">
        <f t="shared" si="142"/>
        <v>0.0%</v>
      </c>
      <c r="AW67" s="391">
        <f t="shared" si="143"/>
        <v>0</v>
      </c>
      <c r="AX67" s="260" t="str">
        <f t="shared" si="118"/>
        <v>0.0%</v>
      </c>
      <c r="AY67" s="307" t="str">
        <f t="shared" si="119"/>
        <v>0.0%</v>
      </c>
      <c r="AZ67" s="391">
        <f t="shared" si="144"/>
        <v>0</v>
      </c>
      <c r="BA67" s="260" t="str">
        <f t="shared" si="120"/>
        <v>0.0%</v>
      </c>
      <c r="BB67" s="261" t="str">
        <f t="shared" si="121"/>
        <v>0.0%</v>
      </c>
      <c r="BC67" s="391">
        <f t="shared" si="145"/>
        <v>0</v>
      </c>
      <c r="BD67" s="260" t="str">
        <f t="shared" si="146"/>
        <v>0.0%</v>
      </c>
      <c r="BE67" s="261" t="str">
        <f t="shared" si="147"/>
        <v>0.0%</v>
      </c>
      <c r="BF67" s="391">
        <f t="shared" si="148"/>
        <v>0</v>
      </c>
      <c r="BG67" s="260" t="str">
        <f t="shared" si="149"/>
        <v>0.0%</v>
      </c>
      <c r="BH67" s="261" t="str">
        <f t="shared" si="150"/>
        <v>0.0%</v>
      </c>
      <c r="BI67" s="391">
        <f t="shared" si="151"/>
        <v>0</v>
      </c>
      <c r="BJ67" s="260" t="str">
        <f t="shared" si="152"/>
        <v>0.0%</v>
      </c>
      <c r="BK67" s="261" t="str">
        <f t="shared" si="153"/>
        <v>0.0%</v>
      </c>
      <c r="BL67" s="391">
        <f t="shared" si="154"/>
        <v>0</v>
      </c>
      <c r="BM67" s="260" t="str">
        <f t="shared" si="155"/>
        <v>0.0%</v>
      </c>
    </row>
    <row r="68" spans="1:65" s="233" customFormat="1" ht="12" x14ac:dyDescent="0.2">
      <c r="A68" s="242" t="s">
        <v>158</v>
      </c>
      <c r="B68" s="386"/>
      <c r="C68" s="387">
        <f t="shared" si="122"/>
        <v>0</v>
      </c>
      <c r="D68" s="386"/>
      <c r="E68" s="260" t="str">
        <f t="shared" si="105"/>
        <v>0.0%</v>
      </c>
      <c r="F68" s="261" t="str">
        <f t="shared" si="123"/>
        <v>0.0%</v>
      </c>
      <c r="G68" s="386"/>
      <c r="H68" s="260" t="str">
        <f t="shared" si="124"/>
        <v>0.0%</v>
      </c>
      <c r="I68" s="261" t="str">
        <f t="shared" si="125"/>
        <v>0.0%</v>
      </c>
      <c r="J68" s="386"/>
      <c r="K68" s="303" t="str">
        <f t="shared" si="106"/>
        <v>0.0%</v>
      </c>
      <c r="L68" s="282" t="str">
        <f t="shared" si="107"/>
        <v>0.0%</v>
      </c>
      <c r="M68" s="391">
        <f t="shared" si="126"/>
        <v>0</v>
      </c>
      <c r="N68" s="303" t="str">
        <f t="shared" si="127"/>
        <v>0.0%</v>
      </c>
      <c r="O68" s="283" t="str">
        <f t="shared" si="128"/>
        <v>0.0%</v>
      </c>
      <c r="P68" s="386"/>
      <c r="Q68" s="260" t="str">
        <f t="shared" si="129"/>
        <v>0.0%</v>
      </c>
      <c r="R68" s="261" t="str">
        <f t="shared" si="130"/>
        <v>0.0%</v>
      </c>
      <c r="S68" s="386"/>
      <c r="T68" s="260" t="str">
        <f t="shared" si="108"/>
        <v>0.0%</v>
      </c>
      <c r="U68" s="307" t="str">
        <f t="shared" si="109"/>
        <v>0.0%</v>
      </c>
      <c r="V68" s="386"/>
      <c r="W68" s="260" t="str">
        <f t="shared" si="131"/>
        <v>0.0%</v>
      </c>
      <c r="X68" s="307" t="str">
        <f t="shared" si="132"/>
        <v>0.0%</v>
      </c>
      <c r="Y68" s="391">
        <f t="shared" si="133"/>
        <v>0</v>
      </c>
      <c r="Z68" s="260" t="str">
        <f t="shared" si="134"/>
        <v>0.0%</v>
      </c>
      <c r="AA68" s="307" t="str">
        <f t="shared" si="135"/>
        <v>0.0%</v>
      </c>
      <c r="AB68" s="386"/>
      <c r="AC68" s="260" t="str">
        <f t="shared" si="110"/>
        <v>0.0%</v>
      </c>
      <c r="AD68" s="307" t="str">
        <f t="shared" si="111"/>
        <v>0.0%</v>
      </c>
      <c r="AE68" s="386"/>
      <c r="AF68" s="260" t="str">
        <f t="shared" si="112"/>
        <v>0.0%</v>
      </c>
      <c r="AG68" s="307" t="str">
        <f t="shared" si="113"/>
        <v>0.0%</v>
      </c>
      <c r="AH68" s="386"/>
      <c r="AI68" s="260" t="str">
        <f t="shared" si="136"/>
        <v>0.0%</v>
      </c>
      <c r="AJ68" s="307" t="str">
        <f t="shared" si="137"/>
        <v>0.0%</v>
      </c>
      <c r="AK68" s="391">
        <f t="shared" si="138"/>
        <v>0</v>
      </c>
      <c r="AL68" s="260" t="str">
        <f t="shared" si="114"/>
        <v>0.0%</v>
      </c>
      <c r="AM68" s="307" t="str">
        <f t="shared" si="115"/>
        <v>0.0%</v>
      </c>
      <c r="AN68" s="386"/>
      <c r="AO68" s="260" t="str">
        <f t="shared" si="139"/>
        <v>0.0%</v>
      </c>
      <c r="AP68" s="307" t="str">
        <f t="shared" si="140"/>
        <v>0.0%</v>
      </c>
      <c r="AQ68" s="386"/>
      <c r="AR68" s="260" t="str">
        <f t="shared" si="116"/>
        <v>0.0%</v>
      </c>
      <c r="AS68" s="307" t="str">
        <f t="shared" si="117"/>
        <v>0.0%</v>
      </c>
      <c r="AT68" s="386"/>
      <c r="AU68" s="260" t="str">
        <f t="shared" si="141"/>
        <v>0.0%</v>
      </c>
      <c r="AV68" s="307" t="str">
        <f t="shared" si="142"/>
        <v>0.0%</v>
      </c>
      <c r="AW68" s="391">
        <f t="shared" si="143"/>
        <v>0</v>
      </c>
      <c r="AX68" s="260" t="str">
        <f t="shared" si="118"/>
        <v>0.0%</v>
      </c>
      <c r="AY68" s="307" t="str">
        <f t="shared" si="119"/>
        <v>0.0%</v>
      </c>
      <c r="AZ68" s="391">
        <f t="shared" si="144"/>
        <v>0</v>
      </c>
      <c r="BA68" s="260" t="str">
        <f t="shared" si="120"/>
        <v>0.0%</v>
      </c>
      <c r="BB68" s="261" t="str">
        <f t="shared" si="121"/>
        <v>0.0%</v>
      </c>
      <c r="BC68" s="391">
        <f t="shared" si="145"/>
        <v>0</v>
      </c>
      <c r="BD68" s="260" t="str">
        <f t="shared" si="146"/>
        <v>0.0%</v>
      </c>
      <c r="BE68" s="261" t="str">
        <f t="shared" si="147"/>
        <v>0.0%</v>
      </c>
      <c r="BF68" s="391">
        <f t="shared" si="148"/>
        <v>0</v>
      </c>
      <c r="BG68" s="260" t="str">
        <f t="shared" si="149"/>
        <v>0.0%</v>
      </c>
      <c r="BH68" s="261" t="str">
        <f t="shared" si="150"/>
        <v>0.0%</v>
      </c>
      <c r="BI68" s="391">
        <f t="shared" si="151"/>
        <v>0</v>
      </c>
      <c r="BJ68" s="260" t="str">
        <f t="shared" si="152"/>
        <v>0.0%</v>
      </c>
      <c r="BK68" s="261" t="str">
        <f t="shared" si="153"/>
        <v>0.0%</v>
      </c>
      <c r="BL68" s="391">
        <f t="shared" si="154"/>
        <v>0</v>
      </c>
      <c r="BM68" s="260" t="str">
        <f t="shared" si="155"/>
        <v>0.0%</v>
      </c>
    </row>
    <row r="69" spans="1:65" s="233" customFormat="1" ht="12" x14ac:dyDescent="0.2">
      <c r="A69" s="245" t="s">
        <v>410</v>
      </c>
      <c r="B69" s="386"/>
      <c r="C69" s="387">
        <f t="shared" si="122"/>
        <v>0</v>
      </c>
      <c r="D69" s="386"/>
      <c r="E69" s="260" t="str">
        <f t="shared" si="105"/>
        <v>0.0%</v>
      </c>
      <c r="F69" s="261" t="str">
        <f t="shared" si="123"/>
        <v>0.0%</v>
      </c>
      <c r="G69" s="386"/>
      <c r="H69" s="260" t="str">
        <f t="shared" si="124"/>
        <v>0.0%</v>
      </c>
      <c r="I69" s="261" t="str">
        <f t="shared" si="125"/>
        <v>0.0%</v>
      </c>
      <c r="J69" s="386"/>
      <c r="K69" s="303" t="str">
        <f t="shared" si="106"/>
        <v>0.0%</v>
      </c>
      <c r="L69" s="282" t="str">
        <f t="shared" si="107"/>
        <v>0.0%</v>
      </c>
      <c r="M69" s="391">
        <f t="shared" si="126"/>
        <v>0</v>
      </c>
      <c r="N69" s="303" t="str">
        <f t="shared" si="127"/>
        <v>0.0%</v>
      </c>
      <c r="O69" s="283" t="str">
        <f t="shared" si="128"/>
        <v>0.0%</v>
      </c>
      <c r="P69" s="386"/>
      <c r="Q69" s="260" t="str">
        <f t="shared" si="129"/>
        <v>0.0%</v>
      </c>
      <c r="R69" s="261" t="str">
        <f t="shared" si="130"/>
        <v>0.0%</v>
      </c>
      <c r="S69" s="386"/>
      <c r="T69" s="260" t="str">
        <f t="shared" si="108"/>
        <v>0.0%</v>
      </c>
      <c r="U69" s="307" t="str">
        <f t="shared" si="109"/>
        <v>0.0%</v>
      </c>
      <c r="V69" s="386"/>
      <c r="W69" s="260" t="str">
        <f t="shared" si="131"/>
        <v>0.0%</v>
      </c>
      <c r="X69" s="307" t="str">
        <f t="shared" si="132"/>
        <v>0.0%</v>
      </c>
      <c r="Y69" s="391">
        <f t="shared" si="133"/>
        <v>0</v>
      </c>
      <c r="Z69" s="260" t="str">
        <f t="shared" si="134"/>
        <v>0.0%</v>
      </c>
      <c r="AA69" s="307" t="str">
        <f t="shared" si="135"/>
        <v>0.0%</v>
      </c>
      <c r="AB69" s="386"/>
      <c r="AC69" s="260" t="str">
        <f t="shared" si="110"/>
        <v>0.0%</v>
      </c>
      <c r="AD69" s="307" t="str">
        <f t="shared" si="111"/>
        <v>0.0%</v>
      </c>
      <c r="AE69" s="386"/>
      <c r="AF69" s="260" t="str">
        <f t="shared" si="112"/>
        <v>0.0%</v>
      </c>
      <c r="AG69" s="307" t="str">
        <f t="shared" si="113"/>
        <v>0.0%</v>
      </c>
      <c r="AH69" s="386"/>
      <c r="AI69" s="260" t="str">
        <f t="shared" si="136"/>
        <v>0.0%</v>
      </c>
      <c r="AJ69" s="307" t="str">
        <f t="shared" si="137"/>
        <v>0.0%</v>
      </c>
      <c r="AK69" s="391">
        <f t="shared" si="138"/>
        <v>0</v>
      </c>
      <c r="AL69" s="260" t="str">
        <f t="shared" si="114"/>
        <v>0.0%</v>
      </c>
      <c r="AM69" s="307" t="str">
        <f t="shared" si="115"/>
        <v>0.0%</v>
      </c>
      <c r="AN69" s="386"/>
      <c r="AO69" s="260" t="str">
        <f t="shared" si="139"/>
        <v>0.0%</v>
      </c>
      <c r="AP69" s="307" t="str">
        <f t="shared" si="140"/>
        <v>0.0%</v>
      </c>
      <c r="AQ69" s="386"/>
      <c r="AR69" s="260" t="str">
        <f t="shared" si="116"/>
        <v>0.0%</v>
      </c>
      <c r="AS69" s="307" t="str">
        <f t="shared" si="117"/>
        <v>0.0%</v>
      </c>
      <c r="AT69" s="386"/>
      <c r="AU69" s="260" t="str">
        <f t="shared" si="141"/>
        <v>0.0%</v>
      </c>
      <c r="AV69" s="307" t="str">
        <f t="shared" si="142"/>
        <v>0.0%</v>
      </c>
      <c r="AW69" s="391">
        <f t="shared" si="143"/>
        <v>0</v>
      </c>
      <c r="AX69" s="260" t="str">
        <f t="shared" si="118"/>
        <v>0.0%</v>
      </c>
      <c r="AY69" s="307" t="str">
        <f t="shared" si="119"/>
        <v>0.0%</v>
      </c>
      <c r="AZ69" s="391">
        <f t="shared" si="144"/>
        <v>0</v>
      </c>
      <c r="BA69" s="260" t="str">
        <f t="shared" si="120"/>
        <v>0.0%</v>
      </c>
      <c r="BB69" s="261" t="str">
        <f t="shared" si="121"/>
        <v>0.0%</v>
      </c>
      <c r="BC69" s="391">
        <f t="shared" si="145"/>
        <v>0</v>
      </c>
      <c r="BD69" s="260" t="str">
        <f t="shared" si="146"/>
        <v>0.0%</v>
      </c>
      <c r="BE69" s="261" t="str">
        <f t="shared" si="147"/>
        <v>0.0%</v>
      </c>
      <c r="BF69" s="391">
        <f t="shared" si="148"/>
        <v>0</v>
      </c>
      <c r="BG69" s="260" t="str">
        <f t="shared" si="149"/>
        <v>0.0%</v>
      </c>
      <c r="BH69" s="261" t="str">
        <f t="shared" si="150"/>
        <v>0.0%</v>
      </c>
      <c r="BI69" s="391">
        <f t="shared" si="151"/>
        <v>0</v>
      </c>
      <c r="BJ69" s="260" t="str">
        <f t="shared" si="152"/>
        <v>0.0%</v>
      </c>
      <c r="BK69" s="261" t="str">
        <f t="shared" si="153"/>
        <v>0.0%</v>
      </c>
      <c r="BL69" s="391">
        <f t="shared" si="154"/>
        <v>0</v>
      </c>
      <c r="BM69" s="260" t="str">
        <f t="shared" si="155"/>
        <v>0.0%</v>
      </c>
    </row>
    <row r="70" spans="1:65" s="233" customFormat="1" ht="10.5" customHeight="1" x14ac:dyDescent="0.2">
      <c r="A70" s="242" t="s">
        <v>603</v>
      </c>
      <c r="B70" s="386"/>
      <c r="C70" s="387">
        <f t="shared" si="122"/>
        <v>0</v>
      </c>
      <c r="D70" s="386"/>
      <c r="E70" s="260" t="str">
        <f t="shared" si="105"/>
        <v>0.0%</v>
      </c>
      <c r="F70" s="261" t="str">
        <f t="shared" si="123"/>
        <v>0.0%</v>
      </c>
      <c r="G70" s="386"/>
      <c r="H70" s="260" t="str">
        <f t="shared" si="124"/>
        <v>0.0%</v>
      </c>
      <c r="I70" s="261" t="str">
        <f t="shared" si="125"/>
        <v>0.0%</v>
      </c>
      <c r="J70" s="386"/>
      <c r="K70" s="303" t="str">
        <f t="shared" si="106"/>
        <v>0.0%</v>
      </c>
      <c r="L70" s="282" t="str">
        <f t="shared" si="107"/>
        <v>0.0%</v>
      </c>
      <c r="M70" s="391">
        <f t="shared" si="126"/>
        <v>0</v>
      </c>
      <c r="N70" s="303" t="str">
        <f t="shared" si="127"/>
        <v>0.0%</v>
      </c>
      <c r="O70" s="283" t="str">
        <f t="shared" si="128"/>
        <v>0.0%</v>
      </c>
      <c r="P70" s="386"/>
      <c r="Q70" s="260" t="str">
        <f t="shared" si="129"/>
        <v>0.0%</v>
      </c>
      <c r="R70" s="261" t="str">
        <f t="shared" si="130"/>
        <v>0.0%</v>
      </c>
      <c r="S70" s="386"/>
      <c r="T70" s="260" t="str">
        <f t="shared" si="108"/>
        <v>0.0%</v>
      </c>
      <c r="U70" s="307" t="str">
        <f t="shared" si="109"/>
        <v>0.0%</v>
      </c>
      <c r="V70" s="386"/>
      <c r="W70" s="260" t="str">
        <f t="shared" si="131"/>
        <v>0.0%</v>
      </c>
      <c r="X70" s="307" t="str">
        <f t="shared" si="132"/>
        <v>0.0%</v>
      </c>
      <c r="Y70" s="391">
        <f t="shared" si="133"/>
        <v>0</v>
      </c>
      <c r="Z70" s="260" t="str">
        <f t="shared" si="134"/>
        <v>0.0%</v>
      </c>
      <c r="AA70" s="307" t="str">
        <f t="shared" si="135"/>
        <v>0.0%</v>
      </c>
      <c r="AB70" s="386"/>
      <c r="AC70" s="260" t="str">
        <f t="shared" si="110"/>
        <v>0.0%</v>
      </c>
      <c r="AD70" s="307" t="str">
        <f t="shared" si="111"/>
        <v>0.0%</v>
      </c>
      <c r="AE70" s="386"/>
      <c r="AF70" s="260" t="str">
        <f t="shared" si="112"/>
        <v>0.0%</v>
      </c>
      <c r="AG70" s="307" t="str">
        <f t="shared" si="113"/>
        <v>0.0%</v>
      </c>
      <c r="AH70" s="386"/>
      <c r="AI70" s="260" t="str">
        <f t="shared" si="136"/>
        <v>0.0%</v>
      </c>
      <c r="AJ70" s="307" t="str">
        <f t="shared" si="137"/>
        <v>0.0%</v>
      </c>
      <c r="AK70" s="391">
        <f t="shared" si="138"/>
        <v>0</v>
      </c>
      <c r="AL70" s="260" t="str">
        <f t="shared" si="114"/>
        <v>0.0%</v>
      </c>
      <c r="AM70" s="307" t="str">
        <f t="shared" si="115"/>
        <v>0.0%</v>
      </c>
      <c r="AN70" s="386"/>
      <c r="AO70" s="260" t="str">
        <f t="shared" si="139"/>
        <v>0.0%</v>
      </c>
      <c r="AP70" s="307" t="str">
        <f t="shared" si="140"/>
        <v>0.0%</v>
      </c>
      <c r="AQ70" s="386"/>
      <c r="AR70" s="260" t="str">
        <f t="shared" si="116"/>
        <v>0.0%</v>
      </c>
      <c r="AS70" s="307" t="str">
        <f t="shared" si="117"/>
        <v>0.0%</v>
      </c>
      <c r="AT70" s="386"/>
      <c r="AU70" s="260" t="str">
        <f t="shared" si="141"/>
        <v>0.0%</v>
      </c>
      <c r="AV70" s="307" t="str">
        <f t="shared" si="142"/>
        <v>0.0%</v>
      </c>
      <c r="AW70" s="391">
        <f t="shared" si="143"/>
        <v>0</v>
      </c>
      <c r="AX70" s="260" t="str">
        <f t="shared" si="118"/>
        <v>0.0%</v>
      </c>
      <c r="AY70" s="307" t="str">
        <f t="shared" si="119"/>
        <v>0.0%</v>
      </c>
      <c r="AZ70" s="391">
        <f t="shared" si="144"/>
        <v>0</v>
      </c>
      <c r="BA70" s="260" t="str">
        <f t="shared" si="120"/>
        <v>0.0%</v>
      </c>
      <c r="BB70" s="261" t="str">
        <f t="shared" si="121"/>
        <v>0.0%</v>
      </c>
      <c r="BC70" s="391">
        <f t="shared" si="145"/>
        <v>0</v>
      </c>
      <c r="BD70" s="260" t="str">
        <f t="shared" si="146"/>
        <v>0.0%</v>
      </c>
      <c r="BE70" s="261" t="str">
        <f t="shared" si="147"/>
        <v>0.0%</v>
      </c>
      <c r="BF70" s="391">
        <f t="shared" si="148"/>
        <v>0</v>
      </c>
      <c r="BG70" s="260" t="str">
        <f t="shared" si="149"/>
        <v>0.0%</v>
      </c>
      <c r="BH70" s="261" t="str">
        <f t="shared" si="150"/>
        <v>0.0%</v>
      </c>
      <c r="BI70" s="391">
        <f t="shared" si="151"/>
        <v>0</v>
      </c>
      <c r="BJ70" s="260" t="str">
        <f t="shared" si="152"/>
        <v>0.0%</v>
      </c>
      <c r="BK70" s="261" t="str">
        <f t="shared" si="153"/>
        <v>0.0%</v>
      </c>
      <c r="BL70" s="391">
        <f t="shared" si="154"/>
        <v>0</v>
      </c>
      <c r="BM70" s="260" t="str">
        <f t="shared" si="155"/>
        <v>0.0%</v>
      </c>
    </row>
    <row r="71" spans="1:65" s="233" customFormat="1" ht="12" x14ac:dyDescent="0.2">
      <c r="A71" s="245" t="s">
        <v>412</v>
      </c>
      <c r="B71" s="386"/>
      <c r="C71" s="387">
        <f t="shared" si="122"/>
        <v>0</v>
      </c>
      <c r="D71" s="386"/>
      <c r="E71" s="260" t="str">
        <f t="shared" si="105"/>
        <v>0.0%</v>
      </c>
      <c r="F71" s="261" t="str">
        <f t="shared" si="123"/>
        <v>0.0%</v>
      </c>
      <c r="G71" s="386"/>
      <c r="H71" s="260" t="str">
        <f t="shared" si="124"/>
        <v>0.0%</v>
      </c>
      <c r="I71" s="261" t="str">
        <f t="shared" si="125"/>
        <v>0.0%</v>
      </c>
      <c r="J71" s="386"/>
      <c r="K71" s="303" t="str">
        <f t="shared" si="106"/>
        <v>0.0%</v>
      </c>
      <c r="L71" s="282" t="str">
        <f t="shared" si="107"/>
        <v>0.0%</v>
      </c>
      <c r="M71" s="391">
        <f t="shared" si="126"/>
        <v>0</v>
      </c>
      <c r="N71" s="303" t="str">
        <f t="shared" si="127"/>
        <v>0.0%</v>
      </c>
      <c r="O71" s="283" t="str">
        <f t="shared" si="128"/>
        <v>0.0%</v>
      </c>
      <c r="P71" s="386"/>
      <c r="Q71" s="260" t="str">
        <f t="shared" si="129"/>
        <v>0.0%</v>
      </c>
      <c r="R71" s="261" t="str">
        <f t="shared" si="130"/>
        <v>0.0%</v>
      </c>
      <c r="S71" s="386"/>
      <c r="T71" s="260" t="str">
        <f t="shared" si="108"/>
        <v>0.0%</v>
      </c>
      <c r="U71" s="307" t="str">
        <f t="shared" si="109"/>
        <v>0.0%</v>
      </c>
      <c r="V71" s="386"/>
      <c r="W71" s="260" t="str">
        <f t="shared" si="131"/>
        <v>0.0%</v>
      </c>
      <c r="X71" s="307" t="str">
        <f t="shared" si="132"/>
        <v>0.0%</v>
      </c>
      <c r="Y71" s="391">
        <f t="shared" si="133"/>
        <v>0</v>
      </c>
      <c r="Z71" s="260" t="str">
        <f t="shared" si="134"/>
        <v>0.0%</v>
      </c>
      <c r="AA71" s="307" t="str">
        <f t="shared" si="135"/>
        <v>0.0%</v>
      </c>
      <c r="AB71" s="386"/>
      <c r="AC71" s="260" t="str">
        <f t="shared" si="110"/>
        <v>0.0%</v>
      </c>
      <c r="AD71" s="307" t="str">
        <f t="shared" si="111"/>
        <v>0.0%</v>
      </c>
      <c r="AE71" s="386"/>
      <c r="AF71" s="260" t="str">
        <f t="shared" si="112"/>
        <v>0.0%</v>
      </c>
      <c r="AG71" s="307" t="str">
        <f t="shared" si="113"/>
        <v>0.0%</v>
      </c>
      <c r="AH71" s="386"/>
      <c r="AI71" s="260" t="str">
        <f t="shared" si="136"/>
        <v>0.0%</v>
      </c>
      <c r="AJ71" s="307" t="str">
        <f t="shared" si="137"/>
        <v>0.0%</v>
      </c>
      <c r="AK71" s="391">
        <f t="shared" si="138"/>
        <v>0</v>
      </c>
      <c r="AL71" s="260" t="str">
        <f t="shared" si="114"/>
        <v>0.0%</v>
      </c>
      <c r="AM71" s="307" t="str">
        <f t="shared" si="115"/>
        <v>0.0%</v>
      </c>
      <c r="AN71" s="386"/>
      <c r="AO71" s="260" t="str">
        <f t="shared" si="139"/>
        <v>0.0%</v>
      </c>
      <c r="AP71" s="307" t="str">
        <f t="shared" si="140"/>
        <v>0.0%</v>
      </c>
      <c r="AQ71" s="386"/>
      <c r="AR71" s="260" t="str">
        <f t="shared" si="116"/>
        <v>0.0%</v>
      </c>
      <c r="AS71" s="307" t="str">
        <f t="shared" si="117"/>
        <v>0.0%</v>
      </c>
      <c r="AT71" s="386"/>
      <c r="AU71" s="260" t="str">
        <f t="shared" si="141"/>
        <v>0.0%</v>
      </c>
      <c r="AV71" s="307" t="str">
        <f t="shared" si="142"/>
        <v>0.0%</v>
      </c>
      <c r="AW71" s="391">
        <f t="shared" si="143"/>
        <v>0</v>
      </c>
      <c r="AX71" s="260" t="str">
        <f t="shared" si="118"/>
        <v>0.0%</v>
      </c>
      <c r="AY71" s="307" t="str">
        <f t="shared" si="119"/>
        <v>0.0%</v>
      </c>
      <c r="AZ71" s="391">
        <f t="shared" si="144"/>
        <v>0</v>
      </c>
      <c r="BA71" s="260" t="str">
        <f t="shared" si="120"/>
        <v>0.0%</v>
      </c>
      <c r="BB71" s="261" t="str">
        <f t="shared" si="121"/>
        <v>0.0%</v>
      </c>
      <c r="BC71" s="391">
        <f t="shared" si="145"/>
        <v>0</v>
      </c>
      <c r="BD71" s="260" t="str">
        <f t="shared" si="146"/>
        <v>0.0%</v>
      </c>
      <c r="BE71" s="261" t="str">
        <f t="shared" si="147"/>
        <v>0.0%</v>
      </c>
      <c r="BF71" s="391">
        <f t="shared" si="148"/>
        <v>0</v>
      </c>
      <c r="BG71" s="260" t="str">
        <f t="shared" si="149"/>
        <v>0.0%</v>
      </c>
      <c r="BH71" s="261" t="str">
        <f t="shared" si="150"/>
        <v>0.0%</v>
      </c>
      <c r="BI71" s="391">
        <f t="shared" si="151"/>
        <v>0</v>
      </c>
      <c r="BJ71" s="260" t="str">
        <f t="shared" si="152"/>
        <v>0.0%</v>
      </c>
      <c r="BK71" s="261" t="str">
        <f t="shared" si="153"/>
        <v>0.0%</v>
      </c>
      <c r="BL71" s="391">
        <f t="shared" si="154"/>
        <v>0</v>
      </c>
      <c r="BM71" s="260" t="str">
        <f t="shared" si="155"/>
        <v>0.0%</v>
      </c>
    </row>
    <row r="72" spans="1:65" s="233" customFormat="1" ht="12" x14ac:dyDescent="0.2">
      <c r="A72" s="242" t="s">
        <v>413</v>
      </c>
      <c r="B72" s="386"/>
      <c r="C72" s="387">
        <f t="shared" si="122"/>
        <v>0</v>
      </c>
      <c r="D72" s="386"/>
      <c r="E72" s="260" t="str">
        <f t="shared" si="105"/>
        <v>0.0%</v>
      </c>
      <c r="F72" s="261" t="str">
        <f t="shared" si="123"/>
        <v>0.0%</v>
      </c>
      <c r="G72" s="386"/>
      <c r="H72" s="260" t="str">
        <f t="shared" si="124"/>
        <v>0.0%</v>
      </c>
      <c r="I72" s="261" t="str">
        <f t="shared" si="125"/>
        <v>0.0%</v>
      </c>
      <c r="J72" s="386"/>
      <c r="K72" s="303" t="str">
        <f t="shared" si="106"/>
        <v>0.0%</v>
      </c>
      <c r="L72" s="282" t="str">
        <f t="shared" si="107"/>
        <v>0.0%</v>
      </c>
      <c r="M72" s="391">
        <f t="shared" si="126"/>
        <v>0</v>
      </c>
      <c r="N72" s="303" t="str">
        <f t="shared" si="127"/>
        <v>0.0%</v>
      </c>
      <c r="O72" s="283" t="str">
        <f t="shared" si="128"/>
        <v>0.0%</v>
      </c>
      <c r="P72" s="386"/>
      <c r="Q72" s="260" t="str">
        <f t="shared" si="129"/>
        <v>0.0%</v>
      </c>
      <c r="R72" s="261" t="str">
        <f t="shared" si="130"/>
        <v>0.0%</v>
      </c>
      <c r="S72" s="386"/>
      <c r="T72" s="260" t="str">
        <f t="shared" si="108"/>
        <v>0.0%</v>
      </c>
      <c r="U72" s="307" t="str">
        <f t="shared" si="109"/>
        <v>0.0%</v>
      </c>
      <c r="V72" s="386"/>
      <c r="W72" s="260" t="str">
        <f t="shared" si="131"/>
        <v>0.0%</v>
      </c>
      <c r="X72" s="307" t="str">
        <f t="shared" si="132"/>
        <v>0.0%</v>
      </c>
      <c r="Y72" s="391">
        <f t="shared" si="133"/>
        <v>0</v>
      </c>
      <c r="Z72" s="260" t="str">
        <f t="shared" si="134"/>
        <v>0.0%</v>
      </c>
      <c r="AA72" s="307" t="str">
        <f t="shared" si="135"/>
        <v>0.0%</v>
      </c>
      <c r="AB72" s="386"/>
      <c r="AC72" s="260" t="str">
        <f t="shared" si="110"/>
        <v>0.0%</v>
      </c>
      <c r="AD72" s="307" t="str">
        <f t="shared" si="111"/>
        <v>0.0%</v>
      </c>
      <c r="AE72" s="386"/>
      <c r="AF72" s="260" t="str">
        <f t="shared" si="112"/>
        <v>0.0%</v>
      </c>
      <c r="AG72" s="307" t="str">
        <f t="shared" si="113"/>
        <v>0.0%</v>
      </c>
      <c r="AH72" s="386"/>
      <c r="AI72" s="260" t="str">
        <f t="shared" si="136"/>
        <v>0.0%</v>
      </c>
      <c r="AJ72" s="307" t="str">
        <f t="shared" si="137"/>
        <v>0.0%</v>
      </c>
      <c r="AK72" s="391">
        <f t="shared" si="138"/>
        <v>0</v>
      </c>
      <c r="AL72" s="260" t="str">
        <f t="shared" si="114"/>
        <v>0.0%</v>
      </c>
      <c r="AM72" s="307" t="str">
        <f t="shared" si="115"/>
        <v>0.0%</v>
      </c>
      <c r="AN72" s="386"/>
      <c r="AO72" s="260" t="str">
        <f t="shared" si="139"/>
        <v>0.0%</v>
      </c>
      <c r="AP72" s="307" t="str">
        <f t="shared" si="140"/>
        <v>0.0%</v>
      </c>
      <c r="AQ72" s="386"/>
      <c r="AR72" s="260" t="str">
        <f t="shared" si="116"/>
        <v>0.0%</v>
      </c>
      <c r="AS72" s="307" t="str">
        <f t="shared" si="117"/>
        <v>0.0%</v>
      </c>
      <c r="AT72" s="386"/>
      <c r="AU72" s="260" t="str">
        <f t="shared" si="141"/>
        <v>0.0%</v>
      </c>
      <c r="AV72" s="307" t="str">
        <f t="shared" si="142"/>
        <v>0.0%</v>
      </c>
      <c r="AW72" s="391">
        <f t="shared" si="143"/>
        <v>0</v>
      </c>
      <c r="AX72" s="260" t="str">
        <f t="shared" si="118"/>
        <v>0.0%</v>
      </c>
      <c r="AY72" s="307" t="str">
        <f t="shared" si="119"/>
        <v>0.0%</v>
      </c>
      <c r="AZ72" s="391">
        <f t="shared" si="144"/>
        <v>0</v>
      </c>
      <c r="BA72" s="260" t="str">
        <f t="shared" si="120"/>
        <v>0.0%</v>
      </c>
      <c r="BB72" s="261" t="str">
        <f t="shared" si="121"/>
        <v>0.0%</v>
      </c>
      <c r="BC72" s="391">
        <f t="shared" si="145"/>
        <v>0</v>
      </c>
      <c r="BD72" s="260" t="str">
        <f t="shared" si="146"/>
        <v>0.0%</v>
      </c>
      <c r="BE72" s="261" t="str">
        <f t="shared" si="147"/>
        <v>0.0%</v>
      </c>
      <c r="BF72" s="391">
        <f t="shared" si="148"/>
        <v>0</v>
      </c>
      <c r="BG72" s="260" t="str">
        <f t="shared" si="149"/>
        <v>0.0%</v>
      </c>
      <c r="BH72" s="261" t="str">
        <f t="shared" si="150"/>
        <v>0.0%</v>
      </c>
      <c r="BI72" s="391">
        <f t="shared" si="151"/>
        <v>0</v>
      </c>
      <c r="BJ72" s="260" t="str">
        <f t="shared" si="152"/>
        <v>0.0%</v>
      </c>
      <c r="BK72" s="261" t="str">
        <f t="shared" si="153"/>
        <v>0.0%</v>
      </c>
      <c r="BL72" s="391">
        <f t="shared" si="154"/>
        <v>0</v>
      </c>
      <c r="BM72" s="260" t="str">
        <f t="shared" si="155"/>
        <v>0.0%</v>
      </c>
    </row>
    <row r="73" spans="1:65" s="233" customFormat="1" ht="12" x14ac:dyDescent="0.2">
      <c r="A73" s="245" t="s">
        <v>414</v>
      </c>
      <c r="B73" s="386"/>
      <c r="C73" s="387">
        <f t="shared" si="122"/>
        <v>0</v>
      </c>
      <c r="D73" s="386"/>
      <c r="E73" s="260" t="str">
        <f t="shared" si="105"/>
        <v>0.0%</v>
      </c>
      <c r="F73" s="261" t="str">
        <f t="shared" si="123"/>
        <v>0.0%</v>
      </c>
      <c r="G73" s="386"/>
      <c r="H73" s="260" t="str">
        <f t="shared" si="124"/>
        <v>0.0%</v>
      </c>
      <c r="I73" s="261" t="str">
        <f t="shared" si="125"/>
        <v>0.0%</v>
      </c>
      <c r="J73" s="386"/>
      <c r="K73" s="303" t="str">
        <f t="shared" si="106"/>
        <v>0.0%</v>
      </c>
      <c r="L73" s="282" t="str">
        <f t="shared" si="107"/>
        <v>0.0%</v>
      </c>
      <c r="M73" s="391">
        <f t="shared" si="126"/>
        <v>0</v>
      </c>
      <c r="N73" s="303" t="str">
        <f t="shared" si="127"/>
        <v>0.0%</v>
      </c>
      <c r="O73" s="283" t="str">
        <f t="shared" si="128"/>
        <v>0.0%</v>
      </c>
      <c r="P73" s="386"/>
      <c r="Q73" s="260" t="str">
        <f t="shared" si="129"/>
        <v>0.0%</v>
      </c>
      <c r="R73" s="261" t="str">
        <f t="shared" si="130"/>
        <v>0.0%</v>
      </c>
      <c r="S73" s="386"/>
      <c r="T73" s="260" t="str">
        <f t="shared" si="108"/>
        <v>0.0%</v>
      </c>
      <c r="U73" s="307" t="str">
        <f t="shared" si="109"/>
        <v>0.0%</v>
      </c>
      <c r="V73" s="386"/>
      <c r="W73" s="260" t="str">
        <f t="shared" si="131"/>
        <v>0.0%</v>
      </c>
      <c r="X73" s="307" t="str">
        <f t="shared" si="132"/>
        <v>0.0%</v>
      </c>
      <c r="Y73" s="391">
        <f t="shared" si="133"/>
        <v>0</v>
      </c>
      <c r="Z73" s="260" t="str">
        <f t="shared" si="134"/>
        <v>0.0%</v>
      </c>
      <c r="AA73" s="307" t="str">
        <f t="shared" si="135"/>
        <v>0.0%</v>
      </c>
      <c r="AB73" s="386"/>
      <c r="AC73" s="260" t="str">
        <f t="shared" si="110"/>
        <v>0.0%</v>
      </c>
      <c r="AD73" s="307" t="str">
        <f t="shared" si="111"/>
        <v>0.0%</v>
      </c>
      <c r="AE73" s="386"/>
      <c r="AF73" s="260" t="str">
        <f t="shared" si="112"/>
        <v>0.0%</v>
      </c>
      <c r="AG73" s="307" t="str">
        <f t="shared" si="113"/>
        <v>0.0%</v>
      </c>
      <c r="AH73" s="386"/>
      <c r="AI73" s="260" t="str">
        <f t="shared" si="136"/>
        <v>0.0%</v>
      </c>
      <c r="AJ73" s="307" t="str">
        <f t="shared" si="137"/>
        <v>0.0%</v>
      </c>
      <c r="AK73" s="391">
        <f t="shared" si="138"/>
        <v>0</v>
      </c>
      <c r="AL73" s="260" t="str">
        <f t="shared" si="114"/>
        <v>0.0%</v>
      </c>
      <c r="AM73" s="307" t="str">
        <f t="shared" si="115"/>
        <v>0.0%</v>
      </c>
      <c r="AN73" s="386"/>
      <c r="AO73" s="260" t="str">
        <f t="shared" si="139"/>
        <v>0.0%</v>
      </c>
      <c r="AP73" s="307" t="str">
        <f t="shared" si="140"/>
        <v>0.0%</v>
      </c>
      <c r="AQ73" s="386"/>
      <c r="AR73" s="260" t="str">
        <f t="shared" si="116"/>
        <v>0.0%</v>
      </c>
      <c r="AS73" s="307" t="str">
        <f t="shared" si="117"/>
        <v>0.0%</v>
      </c>
      <c r="AT73" s="386"/>
      <c r="AU73" s="260" t="str">
        <f t="shared" si="141"/>
        <v>0.0%</v>
      </c>
      <c r="AV73" s="307" t="str">
        <f t="shared" si="142"/>
        <v>0.0%</v>
      </c>
      <c r="AW73" s="391">
        <f t="shared" si="143"/>
        <v>0</v>
      </c>
      <c r="AX73" s="260" t="str">
        <f t="shared" si="118"/>
        <v>0.0%</v>
      </c>
      <c r="AY73" s="307" t="str">
        <f t="shared" si="119"/>
        <v>0.0%</v>
      </c>
      <c r="AZ73" s="391">
        <f t="shared" si="144"/>
        <v>0</v>
      </c>
      <c r="BA73" s="260" t="str">
        <f t="shared" si="120"/>
        <v>0.0%</v>
      </c>
      <c r="BB73" s="261" t="str">
        <f t="shared" si="121"/>
        <v>0.0%</v>
      </c>
      <c r="BC73" s="391">
        <f t="shared" si="145"/>
        <v>0</v>
      </c>
      <c r="BD73" s="260" t="str">
        <f t="shared" si="146"/>
        <v>0.0%</v>
      </c>
      <c r="BE73" s="261" t="str">
        <f t="shared" si="147"/>
        <v>0.0%</v>
      </c>
      <c r="BF73" s="391">
        <f t="shared" si="148"/>
        <v>0</v>
      </c>
      <c r="BG73" s="260" t="str">
        <f t="shared" si="149"/>
        <v>0.0%</v>
      </c>
      <c r="BH73" s="261" t="str">
        <f t="shared" si="150"/>
        <v>0.0%</v>
      </c>
      <c r="BI73" s="391">
        <f t="shared" si="151"/>
        <v>0</v>
      </c>
      <c r="BJ73" s="260" t="str">
        <f t="shared" si="152"/>
        <v>0.0%</v>
      </c>
      <c r="BK73" s="261" t="str">
        <f t="shared" si="153"/>
        <v>0.0%</v>
      </c>
      <c r="BL73" s="391">
        <f t="shared" si="154"/>
        <v>0</v>
      </c>
      <c r="BM73" s="260" t="str">
        <f t="shared" si="155"/>
        <v>0.0%</v>
      </c>
    </row>
    <row r="74" spans="1:65" s="233" customFormat="1" ht="12" x14ac:dyDescent="0.2">
      <c r="A74" s="242" t="s">
        <v>415</v>
      </c>
      <c r="B74" s="386"/>
      <c r="C74" s="387">
        <f t="shared" si="122"/>
        <v>0</v>
      </c>
      <c r="D74" s="386"/>
      <c r="E74" s="260" t="str">
        <f t="shared" si="105"/>
        <v>0.0%</v>
      </c>
      <c r="F74" s="261" t="str">
        <f t="shared" si="123"/>
        <v>0.0%</v>
      </c>
      <c r="G74" s="386"/>
      <c r="H74" s="260" t="str">
        <f t="shared" si="124"/>
        <v>0.0%</v>
      </c>
      <c r="I74" s="261" t="str">
        <f t="shared" si="125"/>
        <v>0.0%</v>
      </c>
      <c r="J74" s="386"/>
      <c r="K74" s="303" t="str">
        <f t="shared" si="106"/>
        <v>0.0%</v>
      </c>
      <c r="L74" s="282" t="str">
        <f t="shared" si="107"/>
        <v>0.0%</v>
      </c>
      <c r="M74" s="391">
        <f t="shared" si="126"/>
        <v>0</v>
      </c>
      <c r="N74" s="303" t="str">
        <f t="shared" si="127"/>
        <v>0.0%</v>
      </c>
      <c r="O74" s="283" t="str">
        <f t="shared" si="128"/>
        <v>0.0%</v>
      </c>
      <c r="P74" s="386"/>
      <c r="Q74" s="260" t="str">
        <f t="shared" si="129"/>
        <v>0.0%</v>
      </c>
      <c r="R74" s="261" t="str">
        <f t="shared" si="130"/>
        <v>0.0%</v>
      </c>
      <c r="S74" s="386"/>
      <c r="T74" s="260" t="str">
        <f t="shared" si="108"/>
        <v>0.0%</v>
      </c>
      <c r="U74" s="307" t="str">
        <f t="shared" si="109"/>
        <v>0.0%</v>
      </c>
      <c r="V74" s="386"/>
      <c r="W74" s="260" t="str">
        <f t="shared" si="131"/>
        <v>0.0%</v>
      </c>
      <c r="X74" s="307" t="str">
        <f t="shared" si="132"/>
        <v>0.0%</v>
      </c>
      <c r="Y74" s="391">
        <f t="shared" si="133"/>
        <v>0</v>
      </c>
      <c r="Z74" s="260" t="str">
        <f t="shared" si="134"/>
        <v>0.0%</v>
      </c>
      <c r="AA74" s="307" t="str">
        <f t="shared" si="135"/>
        <v>0.0%</v>
      </c>
      <c r="AB74" s="386"/>
      <c r="AC74" s="260" t="str">
        <f t="shared" si="110"/>
        <v>0.0%</v>
      </c>
      <c r="AD74" s="307" t="str">
        <f t="shared" si="111"/>
        <v>0.0%</v>
      </c>
      <c r="AE74" s="386"/>
      <c r="AF74" s="260" t="str">
        <f t="shared" si="112"/>
        <v>0.0%</v>
      </c>
      <c r="AG74" s="307" t="str">
        <f t="shared" si="113"/>
        <v>0.0%</v>
      </c>
      <c r="AH74" s="386"/>
      <c r="AI74" s="260" t="str">
        <f t="shared" si="136"/>
        <v>0.0%</v>
      </c>
      <c r="AJ74" s="307" t="str">
        <f t="shared" si="137"/>
        <v>0.0%</v>
      </c>
      <c r="AK74" s="391">
        <f t="shared" si="138"/>
        <v>0</v>
      </c>
      <c r="AL74" s="260" t="str">
        <f t="shared" si="114"/>
        <v>0.0%</v>
      </c>
      <c r="AM74" s="307" t="str">
        <f t="shared" si="115"/>
        <v>0.0%</v>
      </c>
      <c r="AN74" s="386"/>
      <c r="AO74" s="260" t="str">
        <f t="shared" si="139"/>
        <v>0.0%</v>
      </c>
      <c r="AP74" s="307" t="str">
        <f t="shared" si="140"/>
        <v>0.0%</v>
      </c>
      <c r="AQ74" s="386"/>
      <c r="AR74" s="260" t="str">
        <f t="shared" si="116"/>
        <v>0.0%</v>
      </c>
      <c r="AS74" s="307" t="str">
        <f t="shared" si="117"/>
        <v>0.0%</v>
      </c>
      <c r="AT74" s="386"/>
      <c r="AU74" s="260" t="str">
        <f t="shared" si="141"/>
        <v>0.0%</v>
      </c>
      <c r="AV74" s="307" t="str">
        <f t="shared" si="142"/>
        <v>0.0%</v>
      </c>
      <c r="AW74" s="391">
        <f t="shared" si="143"/>
        <v>0</v>
      </c>
      <c r="AX74" s="260" t="str">
        <f t="shared" si="118"/>
        <v>0.0%</v>
      </c>
      <c r="AY74" s="307" t="str">
        <f t="shared" si="119"/>
        <v>0.0%</v>
      </c>
      <c r="AZ74" s="391">
        <f t="shared" si="144"/>
        <v>0</v>
      </c>
      <c r="BA74" s="260" t="str">
        <f t="shared" si="120"/>
        <v>0.0%</v>
      </c>
      <c r="BB74" s="261" t="str">
        <f t="shared" si="121"/>
        <v>0.0%</v>
      </c>
      <c r="BC74" s="391">
        <f t="shared" si="145"/>
        <v>0</v>
      </c>
      <c r="BD74" s="260" t="str">
        <f t="shared" si="146"/>
        <v>0.0%</v>
      </c>
      <c r="BE74" s="261" t="str">
        <f t="shared" si="147"/>
        <v>0.0%</v>
      </c>
      <c r="BF74" s="391">
        <f t="shared" si="148"/>
        <v>0</v>
      </c>
      <c r="BG74" s="260" t="str">
        <f t="shared" si="149"/>
        <v>0.0%</v>
      </c>
      <c r="BH74" s="261" t="str">
        <f t="shared" si="150"/>
        <v>0.0%</v>
      </c>
      <c r="BI74" s="391">
        <f t="shared" si="151"/>
        <v>0</v>
      </c>
      <c r="BJ74" s="260" t="str">
        <f t="shared" si="152"/>
        <v>0.0%</v>
      </c>
      <c r="BK74" s="261" t="str">
        <f t="shared" si="153"/>
        <v>0.0%</v>
      </c>
      <c r="BL74" s="391">
        <f t="shared" si="154"/>
        <v>0</v>
      </c>
      <c r="BM74" s="260" t="str">
        <f t="shared" si="155"/>
        <v>0.0%</v>
      </c>
    </row>
    <row r="75" spans="1:65" s="233" customFormat="1" ht="12" x14ac:dyDescent="0.2">
      <c r="A75" s="245" t="s">
        <v>416</v>
      </c>
      <c r="B75" s="386"/>
      <c r="C75" s="387">
        <f t="shared" si="122"/>
        <v>0</v>
      </c>
      <c r="D75" s="386"/>
      <c r="E75" s="260" t="str">
        <f t="shared" si="105"/>
        <v>0.0%</v>
      </c>
      <c r="F75" s="261" t="str">
        <f t="shared" si="123"/>
        <v>0.0%</v>
      </c>
      <c r="G75" s="386"/>
      <c r="H75" s="260" t="str">
        <f t="shared" si="124"/>
        <v>0.0%</v>
      </c>
      <c r="I75" s="261" t="str">
        <f t="shared" si="125"/>
        <v>0.0%</v>
      </c>
      <c r="J75" s="386"/>
      <c r="K75" s="303" t="str">
        <f t="shared" si="106"/>
        <v>0.0%</v>
      </c>
      <c r="L75" s="282" t="str">
        <f t="shared" si="107"/>
        <v>0.0%</v>
      </c>
      <c r="M75" s="391">
        <f t="shared" si="126"/>
        <v>0</v>
      </c>
      <c r="N75" s="303" t="str">
        <f t="shared" si="127"/>
        <v>0.0%</v>
      </c>
      <c r="O75" s="283" t="str">
        <f t="shared" si="128"/>
        <v>0.0%</v>
      </c>
      <c r="P75" s="386"/>
      <c r="Q75" s="260" t="str">
        <f t="shared" si="129"/>
        <v>0.0%</v>
      </c>
      <c r="R75" s="261" t="str">
        <f t="shared" si="130"/>
        <v>0.0%</v>
      </c>
      <c r="S75" s="386"/>
      <c r="T75" s="260" t="str">
        <f t="shared" si="108"/>
        <v>0.0%</v>
      </c>
      <c r="U75" s="307" t="str">
        <f t="shared" si="109"/>
        <v>0.0%</v>
      </c>
      <c r="V75" s="386"/>
      <c r="W75" s="260" t="str">
        <f t="shared" si="131"/>
        <v>0.0%</v>
      </c>
      <c r="X75" s="307" t="str">
        <f t="shared" si="132"/>
        <v>0.0%</v>
      </c>
      <c r="Y75" s="391">
        <f t="shared" si="133"/>
        <v>0</v>
      </c>
      <c r="Z75" s="260" t="str">
        <f t="shared" si="134"/>
        <v>0.0%</v>
      </c>
      <c r="AA75" s="307" t="str">
        <f t="shared" si="135"/>
        <v>0.0%</v>
      </c>
      <c r="AB75" s="386"/>
      <c r="AC75" s="260" t="str">
        <f t="shared" si="110"/>
        <v>0.0%</v>
      </c>
      <c r="AD75" s="307" t="str">
        <f t="shared" si="111"/>
        <v>0.0%</v>
      </c>
      <c r="AE75" s="386"/>
      <c r="AF75" s="260" t="str">
        <f t="shared" si="112"/>
        <v>0.0%</v>
      </c>
      <c r="AG75" s="307" t="str">
        <f t="shared" si="113"/>
        <v>0.0%</v>
      </c>
      <c r="AH75" s="386"/>
      <c r="AI75" s="260" t="str">
        <f t="shared" si="136"/>
        <v>0.0%</v>
      </c>
      <c r="AJ75" s="307" t="str">
        <f t="shared" si="137"/>
        <v>0.0%</v>
      </c>
      <c r="AK75" s="391">
        <f t="shared" si="138"/>
        <v>0</v>
      </c>
      <c r="AL75" s="260" t="str">
        <f t="shared" si="114"/>
        <v>0.0%</v>
      </c>
      <c r="AM75" s="307" t="str">
        <f t="shared" si="115"/>
        <v>0.0%</v>
      </c>
      <c r="AN75" s="386"/>
      <c r="AO75" s="260" t="str">
        <f t="shared" si="139"/>
        <v>0.0%</v>
      </c>
      <c r="AP75" s="307" t="str">
        <f t="shared" si="140"/>
        <v>0.0%</v>
      </c>
      <c r="AQ75" s="386"/>
      <c r="AR75" s="260" t="str">
        <f t="shared" si="116"/>
        <v>0.0%</v>
      </c>
      <c r="AS75" s="307" t="str">
        <f t="shared" si="117"/>
        <v>0.0%</v>
      </c>
      <c r="AT75" s="386"/>
      <c r="AU75" s="260" t="str">
        <f t="shared" si="141"/>
        <v>0.0%</v>
      </c>
      <c r="AV75" s="307" t="str">
        <f t="shared" si="142"/>
        <v>0.0%</v>
      </c>
      <c r="AW75" s="391">
        <f t="shared" si="143"/>
        <v>0</v>
      </c>
      <c r="AX75" s="260" t="str">
        <f t="shared" si="118"/>
        <v>0.0%</v>
      </c>
      <c r="AY75" s="307" t="str">
        <f t="shared" si="119"/>
        <v>0.0%</v>
      </c>
      <c r="AZ75" s="391">
        <f t="shared" si="144"/>
        <v>0</v>
      </c>
      <c r="BA75" s="260" t="str">
        <f t="shared" si="120"/>
        <v>0.0%</v>
      </c>
      <c r="BB75" s="261" t="str">
        <f t="shared" si="121"/>
        <v>0.0%</v>
      </c>
      <c r="BC75" s="391">
        <f t="shared" si="145"/>
        <v>0</v>
      </c>
      <c r="BD75" s="260" t="str">
        <f t="shared" si="146"/>
        <v>0.0%</v>
      </c>
      <c r="BE75" s="261" t="str">
        <f t="shared" si="147"/>
        <v>0.0%</v>
      </c>
      <c r="BF75" s="391">
        <f t="shared" si="148"/>
        <v>0</v>
      </c>
      <c r="BG75" s="260" t="str">
        <f t="shared" si="149"/>
        <v>0.0%</v>
      </c>
      <c r="BH75" s="261" t="str">
        <f t="shared" si="150"/>
        <v>0.0%</v>
      </c>
      <c r="BI75" s="391">
        <f t="shared" si="151"/>
        <v>0</v>
      </c>
      <c r="BJ75" s="260" t="str">
        <f t="shared" si="152"/>
        <v>0.0%</v>
      </c>
      <c r="BK75" s="261" t="str">
        <f t="shared" si="153"/>
        <v>0.0%</v>
      </c>
      <c r="BL75" s="391">
        <f t="shared" si="154"/>
        <v>0</v>
      </c>
      <c r="BM75" s="260" t="str">
        <f t="shared" si="155"/>
        <v>0.0%</v>
      </c>
    </row>
    <row r="76" spans="1:65" s="233" customFormat="1" ht="12" x14ac:dyDescent="0.2">
      <c r="A76" s="242" t="s">
        <v>417</v>
      </c>
      <c r="B76" s="386"/>
      <c r="C76" s="387">
        <f t="shared" si="122"/>
        <v>0</v>
      </c>
      <c r="D76" s="386"/>
      <c r="E76" s="260" t="str">
        <f t="shared" si="105"/>
        <v>0.0%</v>
      </c>
      <c r="F76" s="261" t="str">
        <f t="shared" si="123"/>
        <v>0.0%</v>
      </c>
      <c r="G76" s="386"/>
      <c r="H76" s="260" t="str">
        <f t="shared" si="124"/>
        <v>0.0%</v>
      </c>
      <c r="I76" s="261" t="str">
        <f t="shared" si="125"/>
        <v>0.0%</v>
      </c>
      <c r="J76" s="386"/>
      <c r="K76" s="303" t="str">
        <f t="shared" si="106"/>
        <v>0.0%</v>
      </c>
      <c r="L76" s="282" t="str">
        <f t="shared" si="107"/>
        <v>0.0%</v>
      </c>
      <c r="M76" s="391">
        <f t="shared" si="126"/>
        <v>0</v>
      </c>
      <c r="N76" s="303" t="str">
        <f t="shared" si="127"/>
        <v>0.0%</v>
      </c>
      <c r="O76" s="283" t="str">
        <f t="shared" si="128"/>
        <v>0.0%</v>
      </c>
      <c r="P76" s="386"/>
      <c r="Q76" s="260" t="str">
        <f t="shared" si="129"/>
        <v>0.0%</v>
      </c>
      <c r="R76" s="261" t="str">
        <f t="shared" si="130"/>
        <v>0.0%</v>
      </c>
      <c r="S76" s="386"/>
      <c r="T76" s="260" t="str">
        <f t="shared" si="108"/>
        <v>0.0%</v>
      </c>
      <c r="U76" s="307" t="str">
        <f t="shared" si="109"/>
        <v>0.0%</v>
      </c>
      <c r="V76" s="386"/>
      <c r="W76" s="260" t="str">
        <f t="shared" si="131"/>
        <v>0.0%</v>
      </c>
      <c r="X76" s="307" t="str">
        <f t="shared" si="132"/>
        <v>0.0%</v>
      </c>
      <c r="Y76" s="391">
        <f t="shared" si="133"/>
        <v>0</v>
      </c>
      <c r="Z76" s="260" t="str">
        <f t="shared" si="134"/>
        <v>0.0%</v>
      </c>
      <c r="AA76" s="307" t="str">
        <f t="shared" si="135"/>
        <v>0.0%</v>
      </c>
      <c r="AB76" s="386"/>
      <c r="AC76" s="260" t="str">
        <f t="shared" si="110"/>
        <v>0.0%</v>
      </c>
      <c r="AD76" s="307" t="str">
        <f t="shared" si="111"/>
        <v>0.0%</v>
      </c>
      <c r="AE76" s="386"/>
      <c r="AF76" s="260" t="str">
        <f t="shared" si="112"/>
        <v>0.0%</v>
      </c>
      <c r="AG76" s="307" t="str">
        <f t="shared" si="113"/>
        <v>0.0%</v>
      </c>
      <c r="AH76" s="386"/>
      <c r="AI76" s="260" t="str">
        <f t="shared" si="136"/>
        <v>0.0%</v>
      </c>
      <c r="AJ76" s="307" t="str">
        <f t="shared" si="137"/>
        <v>0.0%</v>
      </c>
      <c r="AK76" s="391">
        <f t="shared" si="138"/>
        <v>0</v>
      </c>
      <c r="AL76" s="260" t="str">
        <f t="shared" si="114"/>
        <v>0.0%</v>
      </c>
      <c r="AM76" s="307" t="str">
        <f t="shared" si="115"/>
        <v>0.0%</v>
      </c>
      <c r="AN76" s="386"/>
      <c r="AO76" s="260" t="str">
        <f t="shared" si="139"/>
        <v>0.0%</v>
      </c>
      <c r="AP76" s="307" t="str">
        <f t="shared" si="140"/>
        <v>0.0%</v>
      </c>
      <c r="AQ76" s="386"/>
      <c r="AR76" s="260" t="str">
        <f t="shared" si="116"/>
        <v>0.0%</v>
      </c>
      <c r="AS76" s="307" t="str">
        <f t="shared" si="117"/>
        <v>0.0%</v>
      </c>
      <c r="AT76" s="386"/>
      <c r="AU76" s="260" t="str">
        <f t="shared" si="141"/>
        <v>0.0%</v>
      </c>
      <c r="AV76" s="307" t="str">
        <f t="shared" si="142"/>
        <v>0.0%</v>
      </c>
      <c r="AW76" s="391">
        <f t="shared" si="143"/>
        <v>0</v>
      </c>
      <c r="AX76" s="260" t="str">
        <f t="shared" si="118"/>
        <v>0.0%</v>
      </c>
      <c r="AY76" s="307" t="str">
        <f t="shared" si="119"/>
        <v>0.0%</v>
      </c>
      <c r="AZ76" s="391">
        <f t="shared" si="144"/>
        <v>0</v>
      </c>
      <c r="BA76" s="260" t="str">
        <f t="shared" si="120"/>
        <v>0.0%</v>
      </c>
      <c r="BB76" s="261" t="str">
        <f t="shared" si="121"/>
        <v>0.0%</v>
      </c>
      <c r="BC76" s="391">
        <f t="shared" si="145"/>
        <v>0</v>
      </c>
      <c r="BD76" s="260" t="str">
        <f t="shared" si="146"/>
        <v>0.0%</v>
      </c>
      <c r="BE76" s="261" t="str">
        <f t="shared" si="147"/>
        <v>0.0%</v>
      </c>
      <c r="BF76" s="391">
        <f t="shared" si="148"/>
        <v>0</v>
      </c>
      <c r="BG76" s="260" t="str">
        <f t="shared" si="149"/>
        <v>0.0%</v>
      </c>
      <c r="BH76" s="261" t="str">
        <f t="shared" si="150"/>
        <v>0.0%</v>
      </c>
      <c r="BI76" s="391">
        <f t="shared" si="151"/>
        <v>0</v>
      </c>
      <c r="BJ76" s="260" t="str">
        <f t="shared" si="152"/>
        <v>0.0%</v>
      </c>
      <c r="BK76" s="261" t="str">
        <f t="shared" si="153"/>
        <v>0.0%</v>
      </c>
      <c r="BL76" s="391">
        <f t="shared" si="154"/>
        <v>0</v>
      </c>
      <c r="BM76" s="260" t="str">
        <f t="shared" si="155"/>
        <v>0.0%</v>
      </c>
    </row>
    <row r="77" spans="1:65" s="233" customFormat="1" ht="11.25" customHeight="1" x14ac:dyDescent="0.2">
      <c r="A77" s="245" t="s">
        <v>554</v>
      </c>
      <c r="B77" s="386"/>
      <c r="C77" s="387">
        <f t="shared" si="122"/>
        <v>0</v>
      </c>
      <c r="D77" s="386"/>
      <c r="E77" s="260" t="str">
        <f t="shared" si="105"/>
        <v>0.0%</v>
      </c>
      <c r="F77" s="261" t="str">
        <f t="shared" si="123"/>
        <v>0.0%</v>
      </c>
      <c r="G77" s="386"/>
      <c r="H77" s="260" t="str">
        <f t="shared" si="124"/>
        <v>0.0%</v>
      </c>
      <c r="I77" s="261" t="str">
        <f t="shared" si="125"/>
        <v>0.0%</v>
      </c>
      <c r="J77" s="386"/>
      <c r="K77" s="303" t="str">
        <f t="shared" si="106"/>
        <v>0.0%</v>
      </c>
      <c r="L77" s="282" t="str">
        <f t="shared" si="107"/>
        <v>0.0%</v>
      </c>
      <c r="M77" s="391">
        <f t="shared" si="126"/>
        <v>0</v>
      </c>
      <c r="N77" s="303" t="str">
        <f t="shared" si="127"/>
        <v>0.0%</v>
      </c>
      <c r="O77" s="283" t="str">
        <f t="shared" si="128"/>
        <v>0.0%</v>
      </c>
      <c r="P77" s="386"/>
      <c r="Q77" s="260" t="str">
        <f t="shared" si="129"/>
        <v>0.0%</v>
      </c>
      <c r="R77" s="261" t="str">
        <f t="shared" si="130"/>
        <v>0.0%</v>
      </c>
      <c r="S77" s="386"/>
      <c r="T77" s="260" t="str">
        <f t="shared" si="108"/>
        <v>0.0%</v>
      </c>
      <c r="U77" s="307" t="str">
        <f t="shared" si="109"/>
        <v>0.0%</v>
      </c>
      <c r="V77" s="386"/>
      <c r="W77" s="260" t="str">
        <f t="shared" si="131"/>
        <v>0.0%</v>
      </c>
      <c r="X77" s="307" t="str">
        <f t="shared" si="132"/>
        <v>0.0%</v>
      </c>
      <c r="Y77" s="391">
        <f t="shared" si="133"/>
        <v>0</v>
      </c>
      <c r="Z77" s="260" t="str">
        <f t="shared" si="134"/>
        <v>0.0%</v>
      </c>
      <c r="AA77" s="307" t="str">
        <f t="shared" si="135"/>
        <v>0.0%</v>
      </c>
      <c r="AB77" s="386"/>
      <c r="AC77" s="260" t="str">
        <f t="shared" si="110"/>
        <v>0.0%</v>
      </c>
      <c r="AD77" s="307" t="str">
        <f t="shared" si="111"/>
        <v>0.0%</v>
      </c>
      <c r="AE77" s="386"/>
      <c r="AF77" s="260" t="str">
        <f t="shared" si="112"/>
        <v>0.0%</v>
      </c>
      <c r="AG77" s="307" t="str">
        <f t="shared" si="113"/>
        <v>0.0%</v>
      </c>
      <c r="AH77" s="386"/>
      <c r="AI77" s="260" t="str">
        <f t="shared" si="136"/>
        <v>0.0%</v>
      </c>
      <c r="AJ77" s="307" t="str">
        <f t="shared" si="137"/>
        <v>0.0%</v>
      </c>
      <c r="AK77" s="391">
        <f t="shared" si="138"/>
        <v>0</v>
      </c>
      <c r="AL77" s="260" t="str">
        <f t="shared" si="114"/>
        <v>0.0%</v>
      </c>
      <c r="AM77" s="307" t="str">
        <f t="shared" si="115"/>
        <v>0.0%</v>
      </c>
      <c r="AN77" s="386"/>
      <c r="AO77" s="260" t="str">
        <f t="shared" si="139"/>
        <v>0.0%</v>
      </c>
      <c r="AP77" s="307" t="str">
        <f t="shared" si="140"/>
        <v>0.0%</v>
      </c>
      <c r="AQ77" s="386"/>
      <c r="AR77" s="260" t="str">
        <f t="shared" si="116"/>
        <v>0.0%</v>
      </c>
      <c r="AS77" s="307" t="str">
        <f t="shared" si="117"/>
        <v>0.0%</v>
      </c>
      <c r="AT77" s="386"/>
      <c r="AU77" s="260" t="str">
        <f t="shared" si="141"/>
        <v>0.0%</v>
      </c>
      <c r="AV77" s="307" t="str">
        <f t="shared" si="142"/>
        <v>0.0%</v>
      </c>
      <c r="AW77" s="391">
        <f t="shared" si="143"/>
        <v>0</v>
      </c>
      <c r="AX77" s="260" t="str">
        <f t="shared" si="118"/>
        <v>0.0%</v>
      </c>
      <c r="AY77" s="307" t="str">
        <f t="shared" si="119"/>
        <v>0.0%</v>
      </c>
      <c r="AZ77" s="391">
        <f t="shared" si="144"/>
        <v>0</v>
      </c>
      <c r="BA77" s="260" t="str">
        <f t="shared" si="120"/>
        <v>0.0%</v>
      </c>
      <c r="BB77" s="261" t="str">
        <f t="shared" si="121"/>
        <v>0.0%</v>
      </c>
      <c r="BC77" s="391">
        <f t="shared" si="145"/>
        <v>0</v>
      </c>
      <c r="BD77" s="260" t="str">
        <f t="shared" si="146"/>
        <v>0.0%</v>
      </c>
      <c r="BE77" s="261" t="str">
        <f t="shared" si="147"/>
        <v>0.0%</v>
      </c>
      <c r="BF77" s="391">
        <f t="shared" si="148"/>
        <v>0</v>
      </c>
      <c r="BG77" s="260" t="str">
        <f t="shared" si="149"/>
        <v>0.0%</v>
      </c>
      <c r="BH77" s="261" t="str">
        <f t="shared" si="150"/>
        <v>0.0%</v>
      </c>
      <c r="BI77" s="391">
        <f t="shared" si="151"/>
        <v>0</v>
      </c>
      <c r="BJ77" s="260" t="str">
        <f t="shared" si="152"/>
        <v>0.0%</v>
      </c>
      <c r="BK77" s="261" t="str">
        <f t="shared" si="153"/>
        <v>0.0%</v>
      </c>
      <c r="BL77" s="391">
        <f t="shared" si="154"/>
        <v>0</v>
      </c>
      <c r="BM77" s="260" t="str">
        <f t="shared" si="155"/>
        <v>0.0%</v>
      </c>
    </row>
    <row r="78" spans="1:65" s="233" customFormat="1" ht="12" x14ac:dyDescent="0.2">
      <c r="A78" s="242" t="s">
        <v>419</v>
      </c>
      <c r="B78" s="386"/>
      <c r="C78" s="387">
        <f t="shared" si="122"/>
        <v>0</v>
      </c>
      <c r="D78" s="386"/>
      <c r="E78" s="260" t="str">
        <f t="shared" si="105"/>
        <v>0.0%</v>
      </c>
      <c r="F78" s="261" t="str">
        <f t="shared" si="123"/>
        <v>0.0%</v>
      </c>
      <c r="G78" s="386"/>
      <c r="H78" s="260" t="str">
        <f t="shared" si="124"/>
        <v>0.0%</v>
      </c>
      <c r="I78" s="261" t="str">
        <f t="shared" si="125"/>
        <v>0.0%</v>
      </c>
      <c r="J78" s="386"/>
      <c r="K78" s="303" t="str">
        <f t="shared" si="106"/>
        <v>0.0%</v>
      </c>
      <c r="L78" s="282" t="str">
        <f t="shared" si="107"/>
        <v>0.0%</v>
      </c>
      <c r="M78" s="391">
        <f t="shared" si="126"/>
        <v>0</v>
      </c>
      <c r="N78" s="303" t="str">
        <f t="shared" si="127"/>
        <v>0.0%</v>
      </c>
      <c r="O78" s="283" t="str">
        <f t="shared" si="128"/>
        <v>0.0%</v>
      </c>
      <c r="P78" s="386"/>
      <c r="Q78" s="260" t="str">
        <f t="shared" si="129"/>
        <v>0.0%</v>
      </c>
      <c r="R78" s="261" t="str">
        <f t="shared" si="130"/>
        <v>0.0%</v>
      </c>
      <c r="S78" s="386"/>
      <c r="T78" s="260" t="str">
        <f t="shared" si="108"/>
        <v>0.0%</v>
      </c>
      <c r="U78" s="307" t="str">
        <f t="shared" si="109"/>
        <v>0.0%</v>
      </c>
      <c r="V78" s="386"/>
      <c r="W78" s="260" t="str">
        <f t="shared" si="131"/>
        <v>0.0%</v>
      </c>
      <c r="X78" s="307" t="str">
        <f t="shared" si="132"/>
        <v>0.0%</v>
      </c>
      <c r="Y78" s="391">
        <f t="shared" si="133"/>
        <v>0</v>
      </c>
      <c r="Z78" s="260" t="str">
        <f t="shared" si="134"/>
        <v>0.0%</v>
      </c>
      <c r="AA78" s="307" t="str">
        <f t="shared" si="135"/>
        <v>0.0%</v>
      </c>
      <c r="AB78" s="386"/>
      <c r="AC78" s="260" t="str">
        <f t="shared" si="110"/>
        <v>0.0%</v>
      </c>
      <c r="AD78" s="307" t="str">
        <f t="shared" si="111"/>
        <v>0.0%</v>
      </c>
      <c r="AE78" s="386"/>
      <c r="AF78" s="260" t="str">
        <f t="shared" si="112"/>
        <v>0.0%</v>
      </c>
      <c r="AG78" s="307" t="str">
        <f t="shared" si="113"/>
        <v>0.0%</v>
      </c>
      <c r="AH78" s="386"/>
      <c r="AI78" s="260" t="str">
        <f t="shared" si="136"/>
        <v>0.0%</v>
      </c>
      <c r="AJ78" s="307" t="str">
        <f t="shared" si="137"/>
        <v>0.0%</v>
      </c>
      <c r="AK78" s="391">
        <f t="shared" si="138"/>
        <v>0</v>
      </c>
      <c r="AL78" s="260" t="str">
        <f t="shared" si="114"/>
        <v>0.0%</v>
      </c>
      <c r="AM78" s="307" t="str">
        <f t="shared" si="115"/>
        <v>0.0%</v>
      </c>
      <c r="AN78" s="386"/>
      <c r="AO78" s="260" t="str">
        <f t="shared" si="139"/>
        <v>0.0%</v>
      </c>
      <c r="AP78" s="307" t="str">
        <f t="shared" si="140"/>
        <v>0.0%</v>
      </c>
      <c r="AQ78" s="386"/>
      <c r="AR78" s="260" t="str">
        <f t="shared" si="116"/>
        <v>0.0%</v>
      </c>
      <c r="AS78" s="307" t="str">
        <f t="shared" si="117"/>
        <v>0.0%</v>
      </c>
      <c r="AT78" s="386"/>
      <c r="AU78" s="260" t="str">
        <f t="shared" si="141"/>
        <v>0.0%</v>
      </c>
      <c r="AV78" s="307" t="str">
        <f t="shared" si="142"/>
        <v>0.0%</v>
      </c>
      <c r="AW78" s="391">
        <f t="shared" si="143"/>
        <v>0</v>
      </c>
      <c r="AX78" s="260" t="str">
        <f t="shared" si="118"/>
        <v>0.0%</v>
      </c>
      <c r="AY78" s="307" t="str">
        <f t="shared" si="119"/>
        <v>0.0%</v>
      </c>
      <c r="AZ78" s="391">
        <f t="shared" si="144"/>
        <v>0</v>
      </c>
      <c r="BA78" s="260" t="str">
        <f t="shared" si="120"/>
        <v>0.0%</v>
      </c>
      <c r="BB78" s="261" t="str">
        <f t="shared" si="121"/>
        <v>0.0%</v>
      </c>
      <c r="BC78" s="391">
        <f t="shared" si="145"/>
        <v>0</v>
      </c>
      <c r="BD78" s="260" t="str">
        <f t="shared" si="146"/>
        <v>0.0%</v>
      </c>
      <c r="BE78" s="261" t="str">
        <f t="shared" si="147"/>
        <v>0.0%</v>
      </c>
      <c r="BF78" s="391">
        <f t="shared" si="148"/>
        <v>0</v>
      </c>
      <c r="BG78" s="260" t="str">
        <f t="shared" si="149"/>
        <v>0.0%</v>
      </c>
      <c r="BH78" s="261" t="str">
        <f t="shared" si="150"/>
        <v>0.0%</v>
      </c>
      <c r="BI78" s="391">
        <f t="shared" si="151"/>
        <v>0</v>
      </c>
      <c r="BJ78" s="260" t="str">
        <f t="shared" si="152"/>
        <v>0.0%</v>
      </c>
      <c r="BK78" s="261" t="str">
        <f t="shared" si="153"/>
        <v>0.0%</v>
      </c>
      <c r="BL78" s="391">
        <f t="shared" si="154"/>
        <v>0</v>
      </c>
      <c r="BM78" s="260" t="str">
        <f t="shared" si="155"/>
        <v>0.0%</v>
      </c>
    </row>
    <row r="79" spans="1:65" s="233" customFormat="1" ht="12" x14ac:dyDescent="0.2">
      <c r="A79" s="245" t="s">
        <v>420</v>
      </c>
      <c r="B79" s="386"/>
      <c r="C79" s="387">
        <f t="shared" si="122"/>
        <v>0</v>
      </c>
      <c r="D79" s="386"/>
      <c r="E79" s="260" t="str">
        <f t="shared" si="105"/>
        <v>0.0%</v>
      </c>
      <c r="F79" s="261" t="str">
        <f t="shared" si="123"/>
        <v>0.0%</v>
      </c>
      <c r="G79" s="386"/>
      <c r="H79" s="260" t="str">
        <f t="shared" si="124"/>
        <v>0.0%</v>
      </c>
      <c r="I79" s="261" t="str">
        <f t="shared" si="125"/>
        <v>0.0%</v>
      </c>
      <c r="J79" s="386"/>
      <c r="K79" s="303" t="str">
        <f t="shared" si="106"/>
        <v>0.0%</v>
      </c>
      <c r="L79" s="282" t="str">
        <f t="shared" si="107"/>
        <v>0.0%</v>
      </c>
      <c r="M79" s="391">
        <f t="shared" si="126"/>
        <v>0</v>
      </c>
      <c r="N79" s="303" t="str">
        <f t="shared" si="127"/>
        <v>0.0%</v>
      </c>
      <c r="O79" s="283" t="str">
        <f t="shared" si="128"/>
        <v>0.0%</v>
      </c>
      <c r="P79" s="386"/>
      <c r="Q79" s="260" t="str">
        <f t="shared" si="129"/>
        <v>0.0%</v>
      </c>
      <c r="R79" s="261" t="str">
        <f t="shared" si="130"/>
        <v>0.0%</v>
      </c>
      <c r="S79" s="386"/>
      <c r="T79" s="260" t="str">
        <f t="shared" si="108"/>
        <v>0.0%</v>
      </c>
      <c r="U79" s="307" t="str">
        <f t="shared" si="109"/>
        <v>0.0%</v>
      </c>
      <c r="V79" s="386"/>
      <c r="W79" s="260" t="str">
        <f t="shared" si="131"/>
        <v>0.0%</v>
      </c>
      <c r="X79" s="307" t="str">
        <f t="shared" si="132"/>
        <v>0.0%</v>
      </c>
      <c r="Y79" s="391">
        <f t="shared" si="133"/>
        <v>0</v>
      </c>
      <c r="Z79" s="260" t="str">
        <f t="shared" si="134"/>
        <v>0.0%</v>
      </c>
      <c r="AA79" s="307" t="str">
        <f t="shared" si="135"/>
        <v>0.0%</v>
      </c>
      <c r="AB79" s="386"/>
      <c r="AC79" s="260" t="str">
        <f t="shared" si="110"/>
        <v>0.0%</v>
      </c>
      <c r="AD79" s="307" t="str">
        <f t="shared" si="111"/>
        <v>0.0%</v>
      </c>
      <c r="AE79" s="386"/>
      <c r="AF79" s="260" t="str">
        <f t="shared" si="112"/>
        <v>0.0%</v>
      </c>
      <c r="AG79" s="307" t="str">
        <f t="shared" si="113"/>
        <v>0.0%</v>
      </c>
      <c r="AH79" s="386"/>
      <c r="AI79" s="260" t="str">
        <f t="shared" si="136"/>
        <v>0.0%</v>
      </c>
      <c r="AJ79" s="307" t="str">
        <f t="shared" si="137"/>
        <v>0.0%</v>
      </c>
      <c r="AK79" s="391">
        <f t="shared" si="138"/>
        <v>0</v>
      </c>
      <c r="AL79" s="260" t="str">
        <f t="shared" si="114"/>
        <v>0.0%</v>
      </c>
      <c r="AM79" s="307" t="str">
        <f t="shared" si="115"/>
        <v>0.0%</v>
      </c>
      <c r="AN79" s="386"/>
      <c r="AO79" s="260" t="str">
        <f t="shared" si="139"/>
        <v>0.0%</v>
      </c>
      <c r="AP79" s="307" t="str">
        <f t="shared" si="140"/>
        <v>0.0%</v>
      </c>
      <c r="AQ79" s="386"/>
      <c r="AR79" s="260" t="str">
        <f t="shared" si="116"/>
        <v>0.0%</v>
      </c>
      <c r="AS79" s="307" t="str">
        <f t="shared" si="117"/>
        <v>0.0%</v>
      </c>
      <c r="AT79" s="386"/>
      <c r="AU79" s="260" t="str">
        <f t="shared" si="141"/>
        <v>0.0%</v>
      </c>
      <c r="AV79" s="307" t="str">
        <f t="shared" si="142"/>
        <v>0.0%</v>
      </c>
      <c r="AW79" s="391">
        <f t="shared" si="143"/>
        <v>0</v>
      </c>
      <c r="AX79" s="260" t="str">
        <f t="shared" si="118"/>
        <v>0.0%</v>
      </c>
      <c r="AY79" s="307" t="str">
        <f t="shared" si="119"/>
        <v>0.0%</v>
      </c>
      <c r="AZ79" s="391">
        <f t="shared" si="144"/>
        <v>0</v>
      </c>
      <c r="BA79" s="260" t="str">
        <f t="shared" si="120"/>
        <v>0.0%</v>
      </c>
      <c r="BB79" s="261" t="str">
        <f t="shared" si="121"/>
        <v>0.0%</v>
      </c>
      <c r="BC79" s="391">
        <f t="shared" si="145"/>
        <v>0</v>
      </c>
      <c r="BD79" s="260" t="str">
        <f t="shared" si="146"/>
        <v>0.0%</v>
      </c>
      <c r="BE79" s="261" t="str">
        <f t="shared" si="147"/>
        <v>0.0%</v>
      </c>
      <c r="BF79" s="391">
        <f t="shared" si="148"/>
        <v>0</v>
      </c>
      <c r="BG79" s="260" t="str">
        <f t="shared" si="149"/>
        <v>0.0%</v>
      </c>
      <c r="BH79" s="261" t="str">
        <f t="shared" si="150"/>
        <v>0.0%</v>
      </c>
      <c r="BI79" s="391">
        <f t="shared" si="151"/>
        <v>0</v>
      </c>
      <c r="BJ79" s="260" t="str">
        <f t="shared" si="152"/>
        <v>0.0%</v>
      </c>
      <c r="BK79" s="261" t="str">
        <f t="shared" si="153"/>
        <v>0.0%</v>
      </c>
      <c r="BL79" s="391">
        <f t="shared" si="154"/>
        <v>0</v>
      </c>
      <c r="BM79" s="260" t="str">
        <f t="shared" si="155"/>
        <v>0.0%</v>
      </c>
    </row>
    <row r="80" spans="1:65" s="233" customFormat="1" ht="12" x14ac:dyDescent="0.2">
      <c r="A80" s="242" t="s">
        <v>421</v>
      </c>
      <c r="B80" s="386"/>
      <c r="C80" s="387">
        <f t="shared" si="122"/>
        <v>0</v>
      </c>
      <c r="D80" s="386"/>
      <c r="E80" s="260" t="str">
        <f t="shared" si="105"/>
        <v>0.0%</v>
      </c>
      <c r="F80" s="261" t="str">
        <f t="shared" si="123"/>
        <v>0.0%</v>
      </c>
      <c r="G80" s="386"/>
      <c r="H80" s="260" t="str">
        <f t="shared" si="124"/>
        <v>0.0%</v>
      </c>
      <c r="I80" s="261" t="str">
        <f t="shared" si="125"/>
        <v>0.0%</v>
      </c>
      <c r="J80" s="386"/>
      <c r="K80" s="303" t="str">
        <f t="shared" si="106"/>
        <v>0.0%</v>
      </c>
      <c r="L80" s="282" t="str">
        <f t="shared" si="107"/>
        <v>0.0%</v>
      </c>
      <c r="M80" s="391">
        <f t="shared" si="126"/>
        <v>0</v>
      </c>
      <c r="N80" s="303" t="str">
        <f t="shared" si="127"/>
        <v>0.0%</v>
      </c>
      <c r="O80" s="283" t="str">
        <f t="shared" si="128"/>
        <v>0.0%</v>
      </c>
      <c r="P80" s="386"/>
      <c r="Q80" s="260" t="str">
        <f t="shared" si="129"/>
        <v>0.0%</v>
      </c>
      <c r="R80" s="261" t="str">
        <f t="shared" si="130"/>
        <v>0.0%</v>
      </c>
      <c r="S80" s="386"/>
      <c r="T80" s="260" t="str">
        <f t="shared" si="108"/>
        <v>0.0%</v>
      </c>
      <c r="U80" s="307" t="str">
        <f t="shared" si="109"/>
        <v>0.0%</v>
      </c>
      <c r="V80" s="386"/>
      <c r="W80" s="260" t="str">
        <f t="shared" si="131"/>
        <v>0.0%</v>
      </c>
      <c r="X80" s="307" t="str">
        <f t="shared" si="132"/>
        <v>0.0%</v>
      </c>
      <c r="Y80" s="391">
        <f t="shared" si="133"/>
        <v>0</v>
      </c>
      <c r="Z80" s="260" t="str">
        <f t="shared" si="134"/>
        <v>0.0%</v>
      </c>
      <c r="AA80" s="307" t="str">
        <f t="shared" si="135"/>
        <v>0.0%</v>
      </c>
      <c r="AB80" s="386"/>
      <c r="AC80" s="260" t="str">
        <f t="shared" si="110"/>
        <v>0.0%</v>
      </c>
      <c r="AD80" s="307" t="str">
        <f t="shared" si="111"/>
        <v>0.0%</v>
      </c>
      <c r="AE80" s="386"/>
      <c r="AF80" s="260" t="str">
        <f t="shared" si="112"/>
        <v>0.0%</v>
      </c>
      <c r="AG80" s="307" t="str">
        <f t="shared" si="113"/>
        <v>0.0%</v>
      </c>
      <c r="AH80" s="386"/>
      <c r="AI80" s="260" t="str">
        <f t="shared" si="136"/>
        <v>0.0%</v>
      </c>
      <c r="AJ80" s="307" t="str">
        <f t="shared" si="137"/>
        <v>0.0%</v>
      </c>
      <c r="AK80" s="391">
        <f t="shared" si="138"/>
        <v>0</v>
      </c>
      <c r="AL80" s="260" t="str">
        <f t="shared" si="114"/>
        <v>0.0%</v>
      </c>
      <c r="AM80" s="307" t="str">
        <f t="shared" si="115"/>
        <v>0.0%</v>
      </c>
      <c r="AN80" s="386"/>
      <c r="AO80" s="260" t="str">
        <f t="shared" si="139"/>
        <v>0.0%</v>
      </c>
      <c r="AP80" s="307" t="str">
        <f t="shared" si="140"/>
        <v>0.0%</v>
      </c>
      <c r="AQ80" s="386"/>
      <c r="AR80" s="260" t="str">
        <f t="shared" si="116"/>
        <v>0.0%</v>
      </c>
      <c r="AS80" s="307" t="str">
        <f t="shared" si="117"/>
        <v>0.0%</v>
      </c>
      <c r="AT80" s="386"/>
      <c r="AU80" s="260" t="str">
        <f t="shared" si="141"/>
        <v>0.0%</v>
      </c>
      <c r="AV80" s="307" t="str">
        <f t="shared" si="142"/>
        <v>0.0%</v>
      </c>
      <c r="AW80" s="391">
        <f t="shared" si="143"/>
        <v>0</v>
      </c>
      <c r="AX80" s="260" t="str">
        <f t="shared" si="118"/>
        <v>0.0%</v>
      </c>
      <c r="AY80" s="307" t="str">
        <f t="shared" si="119"/>
        <v>0.0%</v>
      </c>
      <c r="AZ80" s="391">
        <f t="shared" si="144"/>
        <v>0</v>
      </c>
      <c r="BA80" s="260" t="str">
        <f t="shared" si="120"/>
        <v>0.0%</v>
      </c>
      <c r="BB80" s="261" t="str">
        <f t="shared" si="121"/>
        <v>0.0%</v>
      </c>
      <c r="BC80" s="391">
        <f t="shared" si="145"/>
        <v>0</v>
      </c>
      <c r="BD80" s="260" t="str">
        <f t="shared" si="146"/>
        <v>0.0%</v>
      </c>
      <c r="BE80" s="261" t="str">
        <f t="shared" si="147"/>
        <v>0.0%</v>
      </c>
      <c r="BF80" s="391">
        <f t="shared" si="148"/>
        <v>0</v>
      </c>
      <c r="BG80" s="260" t="str">
        <f t="shared" si="149"/>
        <v>0.0%</v>
      </c>
      <c r="BH80" s="261" t="str">
        <f t="shared" si="150"/>
        <v>0.0%</v>
      </c>
      <c r="BI80" s="391">
        <f t="shared" si="151"/>
        <v>0</v>
      </c>
      <c r="BJ80" s="260" t="str">
        <f t="shared" si="152"/>
        <v>0.0%</v>
      </c>
      <c r="BK80" s="261" t="str">
        <f t="shared" si="153"/>
        <v>0.0%</v>
      </c>
      <c r="BL80" s="391">
        <f t="shared" si="154"/>
        <v>0</v>
      </c>
      <c r="BM80" s="260" t="str">
        <f t="shared" si="155"/>
        <v>0.0%</v>
      </c>
    </row>
    <row r="81" spans="1:65" s="233" customFormat="1" ht="12" x14ac:dyDescent="0.2">
      <c r="A81" s="245" t="s">
        <v>422</v>
      </c>
      <c r="B81" s="386"/>
      <c r="C81" s="387">
        <f t="shared" si="122"/>
        <v>0</v>
      </c>
      <c r="D81" s="386"/>
      <c r="E81" s="260" t="str">
        <f t="shared" si="105"/>
        <v>0.0%</v>
      </c>
      <c r="F81" s="261" t="str">
        <f t="shared" si="123"/>
        <v>0.0%</v>
      </c>
      <c r="G81" s="386"/>
      <c r="H81" s="260" t="str">
        <f t="shared" si="124"/>
        <v>0.0%</v>
      </c>
      <c r="I81" s="261" t="str">
        <f t="shared" si="125"/>
        <v>0.0%</v>
      </c>
      <c r="J81" s="386"/>
      <c r="K81" s="303" t="str">
        <f t="shared" si="106"/>
        <v>0.0%</v>
      </c>
      <c r="L81" s="282" t="str">
        <f t="shared" si="107"/>
        <v>0.0%</v>
      </c>
      <c r="M81" s="391">
        <f t="shared" si="126"/>
        <v>0</v>
      </c>
      <c r="N81" s="303" t="str">
        <f t="shared" si="127"/>
        <v>0.0%</v>
      </c>
      <c r="O81" s="283" t="str">
        <f t="shared" si="128"/>
        <v>0.0%</v>
      </c>
      <c r="P81" s="386"/>
      <c r="Q81" s="260" t="str">
        <f t="shared" si="129"/>
        <v>0.0%</v>
      </c>
      <c r="R81" s="261" t="str">
        <f t="shared" si="130"/>
        <v>0.0%</v>
      </c>
      <c r="S81" s="386"/>
      <c r="T81" s="260" t="str">
        <f t="shared" si="108"/>
        <v>0.0%</v>
      </c>
      <c r="U81" s="307" t="str">
        <f t="shared" si="109"/>
        <v>0.0%</v>
      </c>
      <c r="V81" s="386"/>
      <c r="W81" s="260" t="str">
        <f t="shared" si="131"/>
        <v>0.0%</v>
      </c>
      <c r="X81" s="307" t="str">
        <f t="shared" si="132"/>
        <v>0.0%</v>
      </c>
      <c r="Y81" s="391">
        <f t="shared" si="133"/>
        <v>0</v>
      </c>
      <c r="Z81" s="260" t="str">
        <f t="shared" si="134"/>
        <v>0.0%</v>
      </c>
      <c r="AA81" s="307" t="str">
        <f t="shared" si="135"/>
        <v>0.0%</v>
      </c>
      <c r="AB81" s="386"/>
      <c r="AC81" s="260" t="str">
        <f t="shared" si="110"/>
        <v>0.0%</v>
      </c>
      <c r="AD81" s="307" t="str">
        <f t="shared" si="111"/>
        <v>0.0%</v>
      </c>
      <c r="AE81" s="386"/>
      <c r="AF81" s="260" t="str">
        <f t="shared" si="112"/>
        <v>0.0%</v>
      </c>
      <c r="AG81" s="307" t="str">
        <f t="shared" si="113"/>
        <v>0.0%</v>
      </c>
      <c r="AH81" s="386"/>
      <c r="AI81" s="260" t="str">
        <f t="shared" si="136"/>
        <v>0.0%</v>
      </c>
      <c r="AJ81" s="307" t="str">
        <f t="shared" si="137"/>
        <v>0.0%</v>
      </c>
      <c r="AK81" s="391">
        <f t="shared" si="138"/>
        <v>0</v>
      </c>
      <c r="AL81" s="260" t="str">
        <f t="shared" si="114"/>
        <v>0.0%</v>
      </c>
      <c r="AM81" s="307" t="str">
        <f t="shared" si="115"/>
        <v>0.0%</v>
      </c>
      <c r="AN81" s="386"/>
      <c r="AO81" s="260" t="str">
        <f t="shared" si="139"/>
        <v>0.0%</v>
      </c>
      <c r="AP81" s="307" t="str">
        <f t="shared" si="140"/>
        <v>0.0%</v>
      </c>
      <c r="AQ81" s="386"/>
      <c r="AR81" s="260" t="str">
        <f t="shared" si="116"/>
        <v>0.0%</v>
      </c>
      <c r="AS81" s="307" t="str">
        <f t="shared" si="117"/>
        <v>0.0%</v>
      </c>
      <c r="AT81" s="386"/>
      <c r="AU81" s="260" t="str">
        <f t="shared" si="141"/>
        <v>0.0%</v>
      </c>
      <c r="AV81" s="307" t="str">
        <f t="shared" si="142"/>
        <v>0.0%</v>
      </c>
      <c r="AW81" s="391">
        <f t="shared" si="143"/>
        <v>0</v>
      </c>
      <c r="AX81" s="260" t="str">
        <f t="shared" si="118"/>
        <v>0.0%</v>
      </c>
      <c r="AY81" s="307" t="str">
        <f t="shared" si="119"/>
        <v>0.0%</v>
      </c>
      <c r="AZ81" s="391">
        <f t="shared" si="144"/>
        <v>0</v>
      </c>
      <c r="BA81" s="260" t="str">
        <f t="shared" si="120"/>
        <v>0.0%</v>
      </c>
      <c r="BB81" s="261" t="str">
        <f t="shared" si="121"/>
        <v>0.0%</v>
      </c>
      <c r="BC81" s="391">
        <f t="shared" si="145"/>
        <v>0</v>
      </c>
      <c r="BD81" s="260" t="str">
        <f t="shared" si="146"/>
        <v>0.0%</v>
      </c>
      <c r="BE81" s="261" t="str">
        <f t="shared" si="147"/>
        <v>0.0%</v>
      </c>
      <c r="BF81" s="391">
        <f t="shared" si="148"/>
        <v>0</v>
      </c>
      <c r="BG81" s="260" t="str">
        <f t="shared" si="149"/>
        <v>0.0%</v>
      </c>
      <c r="BH81" s="261" t="str">
        <f t="shared" si="150"/>
        <v>0.0%</v>
      </c>
      <c r="BI81" s="391">
        <f t="shared" si="151"/>
        <v>0</v>
      </c>
      <c r="BJ81" s="260" t="str">
        <f t="shared" si="152"/>
        <v>0.0%</v>
      </c>
      <c r="BK81" s="261" t="str">
        <f t="shared" si="153"/>
        <v>0.0%</v>
      </c>
      <c r="BL81" s="391">
        <f t="shared" si="154"/>
        <v>0</v>
      </c>
      <c r="BM81" s="260" t="str">
        <f t="shared" si="155"/>
        <v>0.0%</v>
      </c>
    </row>
    <row r="82" spans="1:65" s="233" customFormat="1" ht="12" x14ac:dyDescent="0.2">
      <c r="A82" s="242" t="s">
        <v>423</v>
      </c>
      <c r="B82" s="386"/>
      <c r="C82" s="387">
        <f t="shared" si="122"/>
        <v>0</v>
      </c>
      <c r="D82" s="386"/>
      <c r="E82" s="260" t="str">
        <f t="shared" si="105"/>
        <v>0.0%</v>
      </c>
      <c r="F82" s="261" t="str">
        <f t="shared" si="123"/>
        <v>0.0%</v>
      </c>
      <c r="G82" s="386"/>
      <c r="H82" s="260" t="str">
        <f t="shared" si="124"/>
        <v>0.0%</v>
      </c>
      <c r="I82" s="261" t="str">
        <f t="shared" si="125"/>
        <v>0.0%</v>
      </c>
      <c r="J82" s="386"/>
      <c r="K82" s="303" t="str">
        <f t="shared" si="106"/>
        <v>0.0%</v>
      </c>
      <c r="L82" s="282" t="str">
        <f t="shared" si="107"/>
        <v>0.0%</v>
      </c>
      <c r="M82" s="391">
        <f t="shared" si="126"/>
        <v>0</v>
      </c>
      <c r="N82" s="303" t="str">
        <f t="shared" si="127"/>
        <v>0.0%</v>
      </c>
      <c r="O82" s="283" t="str">
        <f t="shared" si="128"/>
        <v>0.0%</v>
      </c>
      <c r="P82" s="386"/>
      <c r="Q82" s="260" t="str">
        <f t="shared" si="129"/>
        <v>0.0%</v>
      </c>
      <c r="R82" s="261" t="str">
        <f t="shared" si="130"/>
        <v>0.0%</v>
      </c>
      <c r="S82" s="386"/>
      <c r="T82" s="260" t="str">
        <f t="shared" si="108"/>
        <v>0.0%</v>
      </c>
      <c r="U82" s="307" t="str">
        <f t="shared" si="109"/>
        <v>0.0%</v>
      </c>
      <c r="V82" s="386"/>
      <c r="W82" s="260" t="str">
        <f t="shared" si="131"/>
        <v>0.0%</v>
      </c>
      <c r="X82" s="307" t="str">
        <f t="shared" si="132"/>
        <v>0.0%</v>
      </c>
      <c r="Y82" s="391">
        <f t="shared" si="133"/>
        <v>0</v>
      </c>
      <c r="Z82" s="260" t="str">
        <f t="shared" si="134"/>
        <v>0.0%</v>
      </c>
      <c r="AA82" s="307" t="str">
        <f t="shared" si="135"/>
        <v>0.0%</v>
      </c>
      <c r="AB82" s="386"/>
      <c r="AC82" s="260" t="str">
        <f t="shared" si="110"/>
        <v>0.0%</v>
      </c>
      <c r="AD82" s="307" t="str">
        <f t="shared" si="111"/>
        <v>0.0%</v>
      </c>
      <c r="AE82" s="386"/>
      <c r="AF82" s="260" t="str">
        <f t="shared" si="112"/>
        <v>0.0%</v>
      </c>
      <c r="AG82" s="307" t="str">
        <f t="shared" si="113"/>
        <v>0.0%</v>
      </c>
      <c r="AH82" s="386"/>
      <c r="AI82" s="260" t="str">
        <f t="shared" si="136"/>
        <v>0.0%</v>
      </c>
      <c r="AJ82" s="307" t="str">
        <f t="shared" si="137"/>
        <v>0.0%</v>
      </c>
      <c r="AK82" s="391">
        <f t="shared" si="138"/>
        <v>0</v>
      </c>
      <c r="AL82" s="260" t="str">
        <f t="shared" si="114"/>
        <v>0.0%</v>
      </c>
      <c r="AM82" s="307" t="str">
        <f t="shared" si="115"/>
        <v>0.0%</v>
      </c>
      <c r="AN82" s="386"/>
      <c r="AO82" s="260" t="str">
        <f t="shared" si="139"/>
        <v>0.0%</v>
      </c>
      <c r="AP82" s="307" t="str">
        <f t="shared" si="140"/>
        <v>0.0%</v>
      </c>
      <c r="AQ82" s="386"/>
      <c r="AR82" s="260" t="str">
        <f t="shared" si="116"/>
        <v>0.0%</v>
      </c>
      <c r="AS82" s="307" t="str">
        <f t="shared" si="117"/>
        <v>0.0%</v>
      </c>
      <c r="AT82" s="386"/>
      <c r="AU82" s="260" t="str">
        <f t="shared" si="141"/>
        <v>0.0%</v>
      </c>
      <c r="AV82" s="307" t="str">
        <f t="shared" si="142"/>
        <v>0.0%</v>
      </c>
      <c r="AW82" s="391">
        <f t="shared" si="143"/>
        <v>0</v>
      </c>
      <c r="AX82" s="260" t="str">
        <f t="shared" si="118"/>
        <v>0.0%</v>
      </c>
      <c r="AY82" s="307" t="str">
        <f t="shared" si="119"/>
        <v>0.0%</v>
      </c>
      <c r="AZ82" s="391">
        <f t="shared" si="144"/>
        <v>0</v>
      </c>
      <c r="BA82" s="260" t="str">
        <f t="shared" si="120"/>
        <v>0.0%</v>
      </c>
      <c r="BB82" s="261" t="str">
        <f t="shared" si="121"/>
        <v>0.0%</v>
      </c>
      <c r="BC82" s="391">
        <f t="shared" si="145"/>
        <v>0</v>
      </c>
      <c r="BD82" s="260" t="str">
        <f t="shared" si="146"/>
        <v>0.0%</v>
      </c>
      <c r="BE82" s="261" t="str">
        <f t="shared" si="147"/>
        <v>0.0%</v>
      </c>
      <c r="BF82" s="391">
        <f t="shared" si="148"/>
        <v>0</v>
      </c>
      <c r="BG82" s="260" t="str">
        <f t="shared" si="149"/>
        <v>0.0%</v>
      </c>
      <c r="BH82" s="261" t="str">
        <f t="shared" si="150"/>
        <v>0.0%</v>
      </c>
      <c r="BI82" s="391">
        <f t="shared" si="151"/>
        <v>0</v>
      </c>
      <c r="BJ82" s="260" t="str">
        <f t="shared" si="152"/>
        <v>0.0%</v>
      </c>
      <c r="BK82" s="261" t="str">
        <f t="shared" si="153"/>
        <v>0.0%</v>
      </c>
      <c r="BL82" s="391">
        <f t="shared" si="154"/>
        <v>0</v>
      </c>
      <c r="BM82" s="260" t="str">
        <f t="shared" si="155"/>
        <v>0.0%</v>
      </c>
    </row>
    <row r="83" spans="1:65" s="233" customFormat="1" ht="12" x14ac:dyDescent="0.2">
      <c r="A83" s="250"/>
      <c r="B83" s="386"/>
      <c r="C83" s="387">
        <f t="shared" si="122"/>
        <v>0</v>
      </c>
      <c r="D83" s="386"/>
      <c r="E83" s="260" t="str">
        <f t="shared" si="105"/>
        <v>0.0%</v>
      </c>
      <c r="F83" s="261" t="str">
        <f t="shared" si="123"/>
        <v>0.0%</v>
      </c>
      <c r="G83" s="386"/>
      <c r="H83" s="260" t="str">
        <f t="shared" si="124"/>
        <v>0.0%</v>
      </c>
      <c r="I83" s="261" t="str">
        <f t="shared" si="125"/>
        <v>0.0%</v>
      </c>
      <c r="J83" s="386"/>
      <c r="K83" s="303" t="str">
        <f t="shared" si="106"/>
        <v>0.0%</v>
      </c>
      <c r="L83" s="282" t="str">
        <f t="shared" si="107"/>
        <v>0.0%</v>
      </c>
      <c r="M83" s="391">
        <f t="shared" si="126"/>
        <v>0</v>
      </c>
      <c r="N83" s="303" t="str">
        <f t="shared" si="127"/>
        <v>0.0%</v>
      </c>
      <c r="O83" s="283" t="str">
        <f t="shared" si="128"/>
        <v>0.0%</v>
      </c>
      <c r="P83" s="386"/>
      <c r="Q83" s="260" t="str">
        <f t="shared" si="129"/>
        <v>0.0%</v>
      </c>
      <c r="R83" s="261" t="str">
        <f t="shared" si="130"/>
        <v>0.0%</v>
      </c>
      <c r="S83" s="386"/>
      <c r="T83" s="260" t="str">
        <f t="shared" si="108"/>
        <v>0.0%</v>
      </c>
      <c r="U83" s="307" t="str">
        <f t="shared" si="109"/>
        <v>0.0%</v>
      </c>
      <c r="V83" s="386"/>
      <c r="W83" s="260" t="str">
        <f t="shared" si="131"/>
        <v>0.0%</v>
      </c>
      <c r="X83" s="307" t="str">
        <f t="shared" si="132"/>
        <v>0.0%</v>
      </c>
      <c r="Y83" s="391">
        <f t="shared" si="133"/>
        <v>0</v>
      </c>
      <c r="Z83" s="260" t="str">
        <f t="shared" si="134"/>
        <v>0.0%</v>
      </c>
      <c r="AA83" s="307" t="str">
        <f t="shared" si="135"/>
        <v>0.0%</v>
      </c>
      <c r="AB83" s="386"/>
      <c r="AC83" s="260" t="str">
        <f t="shared" si="110"/>
        <v>0.0%</v>
      </c>
      <c r="AD83" s="307" t="str">
        <f t="shared" si="111"/>
        <v>0.0%</v>
      </c>
      <c r="AE83" s="386"/>
      <c r="AF83" s="260" t="str">
        <f t="shared" si="112"/>
        <v>0.0%</v>
      </c>
      <c r="AG83" s="307" t="str">
        <f t="shared" si="113"/>
        <v>0.0%</v>
      </c>
      <c r="AH83" s="386"/>
      <c r="AI83" s="260" t="str">
        <f t="shared" si="136"/>
        <v>0.0%</v>
      </c>
      <c r="AJ83" s="307" t="str">
        <f t="shared" si="137"/>
        <v>0.0%</v>
      </c>
      <c r="AK83" s="391">
        <f t="shared" si="138"/>
        <v>0</v>
      </c>
      <c r="AL83" s="260" t="str">
        <f t="shared" si="114"/>
        <v>0.0%</v>
      </c>
      <c r="AM83" s="307" t="str">
        <f t="shared" si="115"/>
        <v>0.0%</v>
      </c>
      <c r="AN83" s="386"/>
      <c r="AO83" s="260" t="str">
        <f t="shared" si="139"/>
        <v>0.0%</v>
      </c>
      <c r="AP83" s="307" t="str">
        <f t="shared" si="140"/>
        <v>0.0%</v>
      </c>
      <c r="AQ83" s="386"/>
      <c r="AR83" s="260" t="str">
        <f t="shared" si="116"/>
        <v>0.0%</v>
      </c>
      <c r="AS83" s="307" t="str">
        <f t="shared" si="117"/>
        <v>0.0%</v>
      </c>
      <c r="AT83" s="386"/>
      <c r="AU83" s="260" t="str">
        <f t="shared" si="141"/>
        <v>0.0%</v>
      </c>
      <c r="AV83" s="307" t="str">
        <f t="shared" si="142"/>
        <v>0.0%</v>
      </c>
      <c r="AW83" s="391">
        <f t="shared" si="143"/>
        <v>0</v>
      </c>
      <c r="AX83" s="260" t="str">
        <f t="shared" si="118"/>
        <v>0.0%</v>
      </c>
      <c r="AY83" s="307" t="str">
        <f t="shared" si="119"/>
        <v>0.0%</v>
      </c>
      <c r="AZ83" s="391">
        <f t="shared" si="144"/>
        <v>0</v>
      </c>
      <c r="BA83" s="260" t="str">
        <f t="shared" si="120"/>
        <v>0.0%</v>
      </c>
      <c r="BB83" s="261" t="str">
        <f t="shared" si="121"/>
        <v>0.0%</v>
      </c>
      <c r="BC83" s="391">
        <f t="shared" si="145"/>
        <v>0</v>
      </c>
      <c r="BD83" s="260" t="str">
        <f t="shared" si="146"/>
        <v>0.0%</v>
      </c>
      <c r="BE83" s="261" t="str">
        <f t="shared" si="147"/>
        <v>0.0%</v>
      </c>
      <c r="BF83" s="391">
        <f t="shared" si="148"/>
        <v>0</v>
      </c>
      <c r="BG83" s="260" t="str">
        <f t="shared" si="149"/>
        <v>0.0%</v>
      </c>
      <c r="BH83" s="261" t="str">
        <f t="shared" si="150"/>
        <v>0.0%</v>
      </c>
      <c r="BI83" s="391">
        <f t="shared" si="151"/>
        <v>0</v>
      </c>
      <c r="BJ83" s="260" t="str">
        <f t="shared" si="152"/>
        <v>0.0%</v>
      </c>
      <c r="BK83" s="261" t="str">
        <f t="shared" si="153"/>
        <v>0.0%</v>
      </c>
      <c r="BL83" s="391">
        <f t="shared" si="154"/>
        <v>0</v>
      </c>
      <c r="BM83" s="260" t="str">
        <f t="shared" si="155"/>
        <v>0.0%</v>
      </c>
    </row>
    <row r="84" spans="1:65" s="233" customFormat="1" ht="12" x14ac:dyDescent="0.2">
      <c r="A84" s="242"/>
      <c r="B84" s="386"/>
      <c r="C84" s="387">
        <f t="shared" si="122"/>
        <v>0</v>
      </c>
      <c r="D84" s="386"/>
      <c r="E84" s="260" t="str">
        <f t="shared" si="105"/>
        <v>0.0%</v>
      </c>
      <c r="F84" s="261" t="str">
        <f t="shared" si="123"/>
        <v>0.0%</v>
      </c>
      <c r="G84" s="386"/>
      <c r="H84" s="260" t="str">
        <f t="shared" si="124"/>
        <v>0.0%</v>
      </c>
      <c r="I84" s="261" t="str">
        <f t="shared" si="125"/>
        <v>0.0%</v>
      </c>
      <c r="J84" s="386"/>
      <c r="K84" s="303" t="str">
        <f t="shared" si="106"/>
        <v>0.0%</v>
      </c>
      <c r="L84" s="282" t="str">
        <f t="shared" si="107"/>
        <v>0.0%</v>
      </c>
      <c r="M84" s="391">
        <f t="shared" si="126"/>
        <v>0</v>
      </c>
      <c r="N84" s="303" t="str">
        <f t="shared" si="127"/>
        <v>0.0%</v>
      </c>
      <c r="O84" s="283" t="str">
        <f t="shared" si="128"/>
        <v>0.0%</v>
      </c>
      <c r="P84" s="386"/>
      <c r="Q84" s="260" t="str">
        <f t="shared" si="129"/>
        <v>0.0%</v>
      </c>
      <c r="R84" s="261" t="str">
        <f t="shared" si="130"/>
        <v>0.0%</v>
      </c>
      <c r="S84" s="386"/>
      <c r="T84" s="260" t="str">
        <f t="shared" si="108"/>
        <v>0.0%</v>
      </c>
      <c r="U84" s="307" t="str">
        <f t="shared" si="109"/>
        <v>0.0%</v>
      </c>
      <c r="V84" s="386"/>
      <c r="W84" s="260" t="str">
        <f t="shared" si="131"/>
        <v>0.0%</v>
      </c>
      <c r="X84" s="307" t="str">
        <f t="shared" si="132"/>
        <v>0.0%</v>
      </c>
      <c r="Y84" s="391">
        <f t="shared" si="133"/>
        <v>0</v>
      </c>
      <c r="Z84" s="260" t="str">
        <f t="shared" si="134"/>
        <v>0.0%</v>
      </c>
      <c r="AA84" s="307" t="str">
        <f t="shared" si="135"/>
        <v>0.0%</v>
      </c>
      <c r="AB84" s="386"/>
      <c r="AC84" s="260" t="str">
        <f t="shared" si="110"/>
        <v>0.0%</v>
      </c>
      <c r="AD84" s="307" t="str">
        <f t="shared" si="111"/>
        <v>0.0%</v>
      </c>
      <c r="AE84" s="386"/>
      <c r="AF84" s="260" t="str">
        <f t="shared" si="112"/>
        <v>0.0%</v>
      </c>
      <c r="AG84" s="307" t="str">
        <f t="shared" si="113"/>
        <v>0.0%</v>
      </c>
      <c r="AH84" s="386"/>
      <c r="AI84" s="260" t="str">
        <f t="shared" si="136"/>
        <v>0.0%</v>
      </c>
      <c r="AJ84" s="307" t="str">
        <f t="shared" si="137"/>
        <v>0.0%</v>
      </c>
      <c r="AK84" s="391">
        <f t="shared" si="138"/>
        <v>0</v>
      </c>
      <c r="AL84" s="260" t="str">
        <f t="shared" si="114"/>
        <v>0.0%</v>
      </c>
      <c r="AM84" s="307" t="str">
        <f t="shared" si="115"/>
        <v>0.0%</v>
      </c>
      <c r="AN84" s="386"/>
      <c r="AO84" s="260" t="str">
        <f t="shared" si="139"/>
        <v>0.0%</v>
      </c>
      <c r="AP84" s="307" t="str">
        <f t="shared" si="140"/>
        <v>0.0%</v>
      </c>
      <c r="AQ84" s="386"/>
      <c r="AR84" s="260" t="str">
        <f t="shared" si="116"/>
        <v>0.0%</v>
      </c>
      <c r="AS84" s="307" t="str">
        <f t="shared" si="117"/>
        <v>0.0%</v>
      </c>
      <c r="AT84" s="386"/>
      <c r="AU84" s="260" t="str">
        <f t="shared" si="141"/>
        <v>0.0%</v>
      </c>
      <c r="AV84" s="307" t="str">
        <f t="shared" si="142"/>
        <v>0.0%</v>
      </c>
      <c r="AW84" s="391">
        <f t="shared" si="143"/>
        <v>0</v>
      </c>
      <c r="AX84" s="260" t="str">
        <f t="shared" si="118"/>
        <v>0.0%</v>
      </c>
      <c r="AY84" s="307" t="str">
        <f t="shared" si="119"/>
        <v>0.0%</v>
      </c>
      <c r="AZ84" s="391">
        <f t="shared" si="144"/>
        <v>0</v>
      </c>
      <c r="BA84" s="260" t="str">
        <f t="shared" si="120"/>
        <v>0.0%</v>
      </c>
      <c r="BB84" s="261" t="str">
        <f t="shared" si="121"/>
        <v>0.0%</v>
      </c>
      <c r="BC84" s="391">
        <f t="shared" si="145"/>
        <v>0</v>
      </c>
      <c r="BD84" s="260" t="str">
        <f t="shared" si="146"/>
        <v>0.0%</v>
      </c>
      <c r="BE84" s="261" t="str">
        <f t="shared" si="147"/>
        <v>0.0%</v>
      </c>
      <c r="BF84" s="391">
        <f t="shared" si="148"/>
        <v>0</v>
      </c>
      <c r="BG84" s="260" t="str">
        <f t="shared" si="149"/>
        <v>0.0%</v>
      </c>
      <c r="BH84" s="261" t="str">
        <f t="shared" si="150"/>
        <v>0.0%</v>
      </c>
      <c r="BI84" s="391">
        <f t="shared" si="151"/>
        <v>0</v>
      </c>
      <c r="BJ84" s="260" t="str">
        <f t="shared" si="152"/>
        <v>0.0%</v>
      </c>
      <c r="BK84" s="261" t="str">
        <f t="shared" si="153"/>
        <v>0.0%</v>
      </c>
      <c r="BL84" s="391">
        <f t="shared" si="154"/>
        <v>0</v>
      </c>
      <c r="BM84" s="260" t="str">
        <f t="shared" si="155"/>
        <v>0.0%</v>
      </c>
    </row>
    <row r="85" spans="1:65" s="233" customFormat="1" ht="12" x14ac:dyDescent="0.2">
      <c r="A85" s="242"/>
      <c r="B85" s="386"/>
      <c r="C85" s="387">
        <f t="shared" si="122"/>
        <v>0</v>
      </c>
      <c r="D85" s="386"/>
      <c r="E85" s="260" t="str">
        <f t="shared" ref="E85:E93" si="156">IFERROR(ROUND((D85-C85)/C85,3),"0.0%")</f>
        <v>0.0%</v>
      </c>
      <c r="F85" s="261" t="str">
        <f t="shared" ref="F85:F93" si="157">IFERROR(ROUND((D85-C85)/C85,3),"0.0%")</f>
        <v>0.0%</v>
      </c>
      <c r="G85" s="386"/>
      <c r="H85" s="260" t="str">
        <f t="shared" ref="H85:H93" si="158">IFERROR(ROUND((G85-C85)/C85,3),"0.0%")</f>
        <v>0.0%</v>
      </c>
      <c r="I85" s="261" t="str">
        <f t="shared" ref="I85:I93" si="159">IFERROR(ROUND(((G85+D85)-(C85*2))/(C85*2),3),"0.0%")</f>
        <v>0.0%</v>
      </c>
      <c r="J85" s="386"/>
      <c r="K85" s="303" t="str">
        <f t="shared" ref="K85:K93" si="160">IFERROR(ROUND((J85-C85)/C85,3),"0.0%")</f>
        <v>0.0%</v>
      </c>
      <c r="L85" s="282" t="str">
        <f t="shared" ref="L85:L93" si="161">IFERROR(ROUND(((J85+G85+D85)-(C85*3))/(C85*3),3),"0.0%")</f>
        <v>0.0%</v>
      </c>
      <c r="M85" s="391">
        <f t="shared" ref="M85:M96" si="162">ROUND(D85+G85+J85,0)</f>
        <v>0</v>
      </c>
      <c r="N85" s="303" t="str">
        <f t="shared" ref="N85:N93" si="163">IFERROR(ROUND((M85-(C85*3))/(C85*3),3),"0.0%")</f>
        <v>0.0%</v>
      </c>
      <c r="O85" s="283" t="str">
        <f t="shared" ref="O85:O93" si="164">IFERROR(ROUND(((M85)-(C85*3))/(C85*3),3),"0.0%")</f>
        <v>0.0%</v>
      </c>
      <c r="P85" s="386"/>
      <c r="Q85" s="260" t="str">
        <f t="shared" ref="Q85:Q93" si="165">IFERROR(ROUND((P85-C85)/C85,3),"0.0%")</f>
        <v>0.0%</v>
      </c>
      <c r="R85" s="261" t="str">
        <f t="shared" ref="R85:R93" si="166">IFERROR(ROUND(((P85+M85)-(C85*4))/(C85*4),3),"0.0%")</f>
        <v>0.0%</v>
      </c>
      <c r="S85" s="386"/>
      <c r="T85" s="260" t="str">
        <f t="shared" ref="T85:T93" si="167">IFERROR(ROUND((S85-C85)/C85,3),"0.0%")</f>
        <v>0.0%</v>
      </c>
      <c r="U85" s="307" t="str">
        <f t="shared" ref="U85:U93" si="168">IFERROR(ROUND(((S85+P85+M85)-(C85*5))/(C85*5),3),"0.0%")</f>
        <v>0.0%</v>
      </c>
      <c r="V85" s="386"/>
      <c r="W85" s="260" t="str">
        <f t="shared" ref="W85:W93" si="169">IFERROR(ROUND((V85-C85)/C85,3),"0.0%")</f>
        <v>0.0%</v>
      </c>
      <c r="X85" s="307" t="str">
        <f t="shared" ref="X85:X93" si="170">IFERROR(ROUND(((V85+S85+P85+M85)-(C85*6))/(C85*6),3),"0.0%")</f>
        <v>0.0%</v>
      </c>
      <c r="Y85" s="391">
        <f t="shared" ref="Y85:Y93" si="171">ROUND(V85+S85+P85,0)</f>
        <v>0</v>
      </c>
      <c r="Z85" s="260" t="str">
        <f t="shared" ref="Z85:Z93" si="172">IFERROR(ROUND((Y85-(C85*3))/(C85*3),3),"0.0%")</f>
        <v>0.0%</v>
      </c>
      <c r="AA85" s="307" t="str">
        <f t="shared" ref="AA85:AA93" si="173">IFERROR(ROUND(((Y85+M85)-(C85*6))/(C85*6),3),"0.0%")</f>
        <v>0.0%</v>
      </c>
      <c r="AB85" s="386"/>
      <c r="AC85" s="260" t="str">
        <f t="shared" ref="AC85:AC93" si="174">IFERROR(ROUND((AB85-C85)/C85,3),"0.0%")</f>
        <v>0.0%</v>
      </c>
      <c r="AD85" s="307" t="str">
        <f t="shared" ref="AD85:AD93" si="175">IFERROR(ROUND(((AB85+Y85+M85)-(C85*7))/(C85*7),3),"0.0%")</f>
        <v>0.0%</v>
      </c>
      <c r="AE85" s="386"/>
      <c r="AF85" s="260" t="str">
        <f t="shared" ref="AF85:AF93" si="176">IFERROR(ROUND((AE85-C85)/C85,3),"0.0%")</f>
        <v>0.0%</v>
      </c>
      <c r="AG85" s="307" t="str">
        <f t="shared" ref="AG85:AG93" si="177">IFERROR(ROUND(((AE85+AB85+Y85+M85)-(C85*8))/(C85*8),3),"0.0%")</f>
        <v>0.0%</v>
      </c>
      <c r="AH85" s="386"/>
      <c r="AI85" s="260" t="str">
        <f t="shared" ref="AI85:AI93" si="178">IFERROR(ROUND((AH85-C85)/C85,3),"0.0%")</f>
        <v>0.0%</v>
      </c>
      <c r="AJ85" s="307" t="str">
        <f t="shared" ref="AJ85:AJ93" si="179">IFERROR(ROUND(((AH85+AE85+AB85+Y85+M85)-(C85*9))/(C85*9),3),"0.0%")</f>
        <v>0.0%</v>
      </c>
      <c r="AK85" s="391">
        <f t="shared" si="138"/>
        <v>0</v>
      </c>
      <c r="AL85" s="260" t="str">
        <f t="shared" ref="AL85:AL93" si="180">IFERROR(ROUND((AK85-(C85*3))/(C85*3),3),"0.0%")</f>
        <v>0.0%</v>
      </c>
      <c r="AM85" s="307" t="str">
        <f t="shared" ref="AM85:AM93" si="181">IFERROR(ROUND(((AK85+Y85+M85)-(C85*9))/(C85*9),3),"0.0%")</f>
        <v>0.0%</v>
      </c>
      <c r="AN85" s="386"/>
      <c r="AO85" s="260" t="str">
        <f t="shared" ref="AO85:AO93" si="182">IFERROR(ROUND((AN85-C85)/C85,3),"0.0%")</f>
        <v>0.0%</v>
      </c>
      <c r="AP85" s="307" t="str">
        <f t="shared" ref="AP85:AP93" si="183">IFERROR(ROUND(((AN85+AK85+Y85+M85)-(C85*10))/(C85*10),3),"0.0%")</f>
        <v>0.0%</v>
      </c>
      <c r="AQ85" s="386"/>
      <c r="AR85" s="260" t="str">
        <f t="shared" ref="AR85:AR93" si="184">IFERROR(ROUND((AQ85-C85)/C85,3),"0.0%")</f>
        <v>0.0%</v>
      </c>
      <c r="AS85" s="307" t="str">
        <f t="shared" ref="AS85:AS93" si="185">IFERROR(ROUND(((AQ85+AN85+AK85+Y85+M85)-(C85*11))/(C85*11),3),"0.0%")</f>
        <v>0.0%</v>
      </c>
      <c r="AT85" s="386"/>
      <c r="AU85" s="260" t="str">
        <f t="shared" ref="AU85:AU93" si="186">IFERROR(ROUND((AT85-C85)/C85,3),"0.0%")</f>
        <v>0.0%</v>
      </c>
      <c r="AV85" s="307" t="str">
        <f t="shared" ref="AV85:AV93" si="187">IFERROR(ROUND(((AT85+AQ85+AN85+AK85+Y85+M85)-(C85*12))/(C85*12),3),"0.0%")</f>
        <v>0.0%</v>
      </c>
      <c r="AW85" s="391">
        <f t="shared" ref="AW85:AW96" si="188">ROUND(AT85+AQ85+AN85,0)</f>
        <v>0</v>
      </c>
      <c r="AX85" s="260" t="str">
        <f t="shared" ref="AX85:AX93" si="189">IFERROR(ROUND((AW85-(C85*3))/(C85*3),3),"0.0%")</f>
        <v>0.0%</v>
      </c>
      <c r="AY85" s="307" t="str">
        <f t="shared" ref="AY85:AY93" si="190">IFERROR(ROUND(((AW85+AK85+Y85+M85)-(C85*12))/(C85*12),3),"0.0%")</f>
        <v>0.0%</v>
      </c>
      <c r="AZ85" s="391">
        <f t="shared" ref="AZ85:AZ93" si="191">M85</f>
        <v>0</v>
      </c>
      <c r="BA85" s="260" t="str">
        <f t="shared" ref="BA85:BA93" si="192">N85</f>
        <v>0.0%</v>
      </c>
      <c r="BB85" s="261" t="str">
        <f t="shared" ref="BB85:BB93" si="193">O85</f>
        <v>0.0%</v>
      </c>
      <c r="BC85" s="391">
        <f t="shared" ref="BC85:BC93" si="194">Y85</f>
        <v>0</v>
      </c>
      <c r="BD85" s="260" t="str">
        <f t="shared" ref="BD85:BD93" si="195">Z85</f>
        <v>0.0%</v>
      </c>
      <c r="BE85" s="261" t="str">
        <f t="shared" ref="BE85:BE93" si="196">AA85</f>
        <v>0.0%</v>
      </c>
      <c r="BF85" s="391">
        <f t="shared" ref="BF85:BF93" si="197">AK85</f>
        <v>0</v>
      </c>
      <c r="BG85" s="260" t="str">
        <f t="shared" ref="BG85:BG93" si="198">AL85</f>
        <v>0.0%</v>
      </c>
      <c r="BH85" s="261" t="str">
        <f t="shared" ref="BH85:BH93" si="199">AM85</f>
        <v>0.0%</v>
      </c>
      <c r="BI85" s="391">
        <f t="shared" ref="BI85:BI93" si="200">AW85</f>
        <v>0</v>
      </c>
      <c r="BJ85" s="260" t="str">
        <f t="shared" ref="BJ85:BJ93" si="201">AX85</f>
        <v>0.0%</v>
      </c>
      <c r="BK85" s="261" t="str">
        <f t="shared" ref="BK85:BK93" si="202">AY85</f>
        <v>0.0%</v>
      </c>
      <c r="BL85" s="391">
        <f t="shared" ref="BL85:BL93" si="203">ROUND(AZ85+BC85+BF85+BI85,0)</f>
        <v>0</v>
      </c>
      <c r="BM85" s="260" t="str">
        <f t="shared" ref="BM85:BM93" si="204">IFERROR(ROUND((BL85-B85)/B85,3),"0.0%")</f>
        <v>0.0%</v>
      </c>
    </row>
    <row r="86" spans="1:65" s="233" customFormat="1" ht="12" x14ac:dyDescent="0.2">
      <c r="A86" s="242"/>
      <c r="B86" s="386"/>
      <c r="C86" s="387">
        <f t="shared" si="122"/>
        <v>0</v>
      </c>
      <c r="D86" s="386"/>
      <c r="E86" s="260" t="str">
        <f t="shared" si="156"/>
        <v>0.0%</v>
      </c>
      <c r="F86" s="261" t="str">
        <f t="shared" si="157"/>
        <v>0.0%</v>
      </c>
      <c r="G86" s="386"/>
      <c r="H86" s="260" t="str">
        <f t="shared" si="158"/>
        <v>0.0%</v>
      </c>
      <c r="I86" s="261" t="str">
        <f t="shared" si="159"/>
        <v>0.0%</v>
      </c>
      <c r="J86" s="386"/>
      <c r="K86" s="303" t="str">
        <f t="shared" si="160"/>
        <v>0.0%</v>
      </c>
      <c r="L86" s="282" t="str">
        <f t="shared" si="161"/>
        <v>0.0%</v>
      </c>
      <c r="M86" s="391">
        <f t="shared" si="162"/>
        <v>0</v>
      </c>
      <c r="N86" s="303" t="str">
        <f t="shared" si="163"/>
        <v>0.0%</v>
      </c>
      <c r="O86" s="283" t="str">
        <f t="shared" si="164"/>
        <v>0.0%</v>
      </c>
      <c r="P86" s="386"/>
      <c r="Q86" s="260" t="str">
        <f t="shared" si="165"/>
        <v>0.0%</v>
      </c>
      <c r="R86" s="261" t="str">
        <f t="shared" si="166"/>
        <v>0.0%</v>
      </c>
      <c r="S86" s="386"/>
      <c r="T86" s="260" t="str">
        <f t="shared" si="167"/>
        <v>0.0%</v>
      </c>
      <c r="U86" s="307" t="str">
        <f t="shared" si="168"/>
        <v>0.0%</v>
      </c>
      <c r="V86" s="386"/>
      <c r="W86" s="260" t="str">
        <f t="shared" si="169"/>
        <v>0.0%</v>
      </c>
      <c r="X86" s="307" t="str">
        <f t="shared" si="170"/>
        <v>0.0%</v>
      </c>
      <c r="Y86" s="391">
        <f t="shared" si="171"/>
        <v>0</v>
      </c>
      <c r="Z86" s="260" t="str">
        <f t="shared" si="172"/>
        <v>0.0%</v>
      </c>
      <c r="AA86" s="307" t="str">
        <f t="shared" si="173"/>
        <v>0.0%</v>
      </c>
      <c r="AB86" s="386"/>
      <c r="AC86" s="260" t="str">
        <f t="shared" si="174"/>
        <v>0.0%</v>
      </c>
      <c r="AD86" s="307" t="str">
        <f t="shared" si="175"/>
        <v>0.0%</v>
      </c>
      <c r="AE86" s="386"/>
      <c r="AF86" s="260" t="str">
        <f t="shared" si="176"/>
        <v>0.0%</v>
      </c>
      <c r="AG86" s="307" t="str">
        <f t="shared" si="177"/>
        <v>0.0%</v>
      </c>
      <c r="AH86" s="386"/>
      <c r="AI86" s="260" t="str">
        <f t="shared" si="178"/>
        <v>0.0%</v>
      </c>
      <c r="AJ86" s="307" t="str">
        <f t="shared" si="179"/>
        <v>0.0%</v>
      </c>
      <c r="AK86" s="391">
        <f t="shared" si="138"/>
        <v>0</v>
      </c>
      <c r="AL86" s="260" t="str">
        <f t="shared" si="180"/>
        <v>0.0%</v>
      </c>
      <c r="AM86" s="307" t="str">
        <f t="shared" si="181"/>
        <v>0.0%</v>
      </c>
      <c r="AN86" s="386"/>
      <c r="AO86" s="260" t="str">
        <f t="shared" si="182"/>
        <v>0.0%</v>
      </c>
      <c r="AP86" s="307" t="str">
        <f t="shared" si="183"/>
        <v>0.0%</v>
      </c>
      <c r="AQ86" s="386"/>
      <c r="AR86" s="260" t="str">
        <f t="shared" si="184"/>
        <v>0.0%</v>
      </c>
      <c r="AS86" s="307" t="str">
        <f t="shared" si="185"/>
        <v>0.0%</v>
      </c>
      <c r="AT86" s="386"/>
      <c r="AU86" s="260" t="str">
        <f t="shared" si="186"/>
        <v>0.0%</v>
      </c>
      <c r="AV86" s="307" t="str">
        <f t="shared" si="187"/>
        <v>0.0%</v>
      </c>
      <c r="AW86" s="391">
        <f t="shared" si="188"/>
        <v>0</v>
      </c>
      <c r="AX86" s="260" t="str">
        <f t="shared" si="189"/>
        <v>0.0%</v>
      </c>
      <c r="AY86" s="307" t="str">
        <f t="shared" si="190"/>
        <v>0.0%</v>
      </c>
      <c r="AZ86" s="391">
        <f t="shared" si="191"/>
        <v>0</v>
      </c>
      <c r="BA86" s="260" t="str">
        <f t="shared" si="192"/>
        <v>0.0%</v>
      </c>
      <c r="BB86" s="261" t="str">
        <f t="shared" si="193"/>
        <v>0.0%</v>
      </c>
      <c r="BC86" s="391">
        <f t="shared" si="194"/>
        <v>0</v>
      </c>
      <c r="BD86" s="260" t="str">
        <f t="shared" si="195"/>
        <v>0.0%</v>
      </c>
      <c r="BE86" s="261" t="str">
        <f t="shared" si="196"/>
        <v>0.0%</v>
      </c>
      <c r="BF86" s="391">
        <f t="shared" si="197"/>
        <v>0</v>
      </c>
      <c r="BG86" s="260" t="str">
        <f t="shared" si="198"/>
        <v>0.0%</v>
      </c>
      <c r="BH86" s="261" t="str">
        <f t="shared" si="199"/>
        <v>0.0%</v>
      </c>
      <c r="BI86" s="391">
        <f t="shared" si="200"/>
        <v>0</v>
      </c>
      <c r="BJ86" s="260" t="str">
        <f t="shared" si="201"/>
        <v>0.0%</v>
      </c>
      <c r="BK86" s="261" t="str">
        <f t="shared" si="202"/>
        <v>0.0%</v>
      </c>
      <c r="BL86" s="391">
        <f t="shared" si="203"/>
        <v>0</v>
      </c>
      <c r="BM86" s="260" t="str">
        <f t="shared" si="204"/>
        <v>0.0%</v>
      </c>
    </row>
    <row r="87" spans="1:65" s="233" customFormat="1" ht="12" x14ac:dyDescent="0.2">
      <c r="A87" s="242"/>
      <c r="B87" s="386"/>
      <c r="C87" s="387">
        <f t="shared" si="122"/>
        <v>0</v>
      </c>
      <c r="D87" s="386"/>
      <c r="E87" s="260" t="str">
        <f t="shared" si="156"/>
        <v>0.0%</v>
      </c>
      <c r="F87" s="261" t="str">
        <f t="shared" si="157"/>
        <v>0.0%</v>
      </c>
      <c r="G87" s="386"/>
      <c r="H87" s="260" t="str">
        <f t="shared" si="158"/>
        <v>0.0%</v>
      </c>
      <c r="I87" s="261" t="str">
        <f t="shared" si="159"/>
        <v>0.0%</v>
      </c>
      <c r="J87" s="386"/>
      <c r="K87" s="303" t="str">
        <f t="shared" si="160"/>
        <v>0.0%</v>
      </c>
      <c r="L87" s="282" t="str">
        <f t="shared" si="161"/>
        <v>0.0%</v>
      </c>
      <c r="M87" s="391">
        <f t="shared" si="162"/>
        <v>0</v>
      </c>
      <c r="N87" s="303" t="str">
        <f t="shared" si="163"/>
        <v>0.0%</v>
      </c>
      <c r="O87" s="283" t="str">
        <f t="shared" si="164"/>
        <v>0.0%</v>
      </c>
      <c r="P87" s="386"/>
      <c r="Q87" s="260" t="str">
        <f t="shared" si="165"/>
        <v>0.0%</v>
      </c>
      <c r="R87" s="261" t="str">
        <f t="shared" si="166"/>
        <v>0.0%</v>
      </c>
      <c r="S87" s="386"/>
      <c r="T87" s="260" t="str">
        <f t="shared" si="167"/>
        <v>0.0%</v>
      </c>
      <c r="U87" s="307" t="str">
        <f t="shared" si="168"/>
        <v>0.0%</v>
      </c>
      <c r="V87" s="386"/>
      <c r="W87" s="260" t="str">
        <f t="shared" si="169"/>
        <v>0.0%</v>
      </c>
      <c r="X87" s="307" t="str">
        <f t="shared" si="170"/>
        <v>0.0%</v>
      </c>
      <c r="Y87" s="391">
        <f t="shared" si="171"/>
        <v>0</v>
      </c>
      <c r="Z87" s="260" t="str">
        <f t="shared" si="172"/>
        <v>0.0%</v>
      </c>
      <c r="AA87" s="307" t="str">
        <f t="shared" si="173"/>
        <v>0.0%</v>
      </c>
      <c r="AB87" s="386"/>
      <c r="AC87" s="260" t="str">
        <f t="shared" si="174"/>
        <v>0.0%</v>
      </c>
      <c r="AD87" s="307" t="str">
        <f t="shared" si="175"/>
        <v>0.0%</v>
      </c>
      <c r="AE87" s="386"/>
      <c r="AF87" s="260" t="str">
        <f t="shared" si="176"/>
        <v>0.0%</v>
      </c>
      <c r="AG87" s="307" t="str">
        <f t="shared" si="177"/>
        <v>0.0%</v>
      </c>
      <c r="AH87" s="386"/>
      <c r="AI87" s="260" t="str">
        <f t="shared" si="178"/>
        <v>0.0%</v>
      </c>
      <c r="AJ87" s="307" t="str">
        <f t="shared" si="179"/>
        <v>0.0%</v>
      </c>
      <c r="AK87" s="391">
        <f t="shared" si="138"/>
        <v>0</v>
      </c>
      <c r="AL87" s="260" t="str">
        <f t="shared" si="180"/>
        <v>0.0%</v>
      </c>
      <c r="AM87" s="307" t="str">
        <f t="shared" si="181"/>
        <v>0.0%</v>
      </c>
      <c r="AN87" s="386"/>
      <c r="AO87" s="260" t="str">
        <f t="shared" si="182"/>
        <v>0.0%</v>
      </c>
      <c r="AP87" s="307" t="str">
        <f t="shared" si="183"/>
        <v>0.0%</v>
      </c>
      <c r="AQ87" s="386"/>
      <c r="AR87" s="260" t="str">
        <f t="shared" si="184"/>
        <v>0.0%</v>
      </c>
      <c r="AS87" s="307" t="str">
        <f t="shared" si="185"/>
        <v>0.0%</v>
      </c>
      <c r="AT87" s="386"/>
      <c r="AU87" s="260" t="str">
        <f t="shared" si="186"/>
        <v>0.0%</v>
      </c>
      <c r="AV87" s="307" t="str">
        <f t="shared" si="187"/>
        <v>0.0%</v>
      </c>
      <c r="AW87" s="391">
        <f t="shared" si="188"/>
        <v>0</v>
      </c>
      <c r="AX87" s="260" t="str">
        <f t="shared" si="189"/>
        <v>0.0%</v>
      </c>
      <c r="AY87" s="307" t="str">
        <f t="shared" si="190"/>
        <v>0.0%</v>
      </c>
      <c r="AZ87" s="391">
        <f t="shared" si="191"/>
        <v>0</v>
      </c>
      <c r="BA87" s="260" t="str">
        <f t="shared" si="192"/>
        <v>0.0%</v>
      </c>
      <c r="BB87" s="261" t="str">
        <f t="shared" si="193"/>
        <v>0.0%</v>
      </c>
      <c r="BC87" s="391">
        <f t="shared" si="194"/>
        <v>0</v>
      </c>
      <c r="BD87" s="260" t="str">
        <f t="shared" si="195"/>
        <v>0.0%</v>
      </c>
      <c r="BE87" s="261" t="str">
        <f t="shared" si="196"/>
        <v>0.0%</v>
      </c>
      <c r="BF87" s="391">
        <f t="shared" si="197"/>
        <v>0</v>
      </c>
      <c r="BG87" s="260" t="str">
        <f t="shared" si="198"/>
        <v>0.0%</v>
      </c>
      <c r="BH87" s="261" t="str">
        <f t="shared" si="199"/>
        <v>0.0%</v>
      </c>
      <c r="BI87" s="391">
        <f t="shared" si="200"/>
        <v>0</v>
      </c>
      <c r="BJ87" s="260" t="str">
        <f t="shared" si="201"/>
        <v>0.0%</v>
      </c>
      <c r="BK87" s="261" t="str">
        <f t="shared" si="202"/>
        <v>0.0%</v>
      </c>
      <c r="BL87" s="391">
        <f t="shared" si="203"/>
        <v>0</v>
      </c>
      <c r="BM87" s="260" t="str">
        <f t="shared" si="204"/>
        <v>0.0%</v>
      </c>
    </row>
    <row r="88" spans="1:65" s="233" customFormat="1" ht="12" x14ac:dyDescent="0.2">
      <c r="A88" s="242"/>
      <c r="B88" s="386"/>
      <c r="C88" s="387">
        <f t="shared" si="122"/>
        <v>0</v>
      </c>
      <c r="D88" s="386"/>
      <c r="E88" s="260" t="str">
        <f t="shared" si="156"/>
        <v>0.0%</v>
      </c>
      <c r="F88" s="261" t="str">
        <f t="shared" si="157"/>
        <v>0.0%</v>
      </c>
      <c r="G88" s="386"/>
      <c r="H88" s="260" t="str">
        <f t="shared" si="158"/>
        <v>0.0%</v>
      </c>
      <c r="I88" s="261" t="str">
        <f t="shared" si="159"/>
        <v>0.0%</v>
      </c>
      <c r="J88" s="386"/>
      <c r="K88" s="303" t="str">
        <f t="shared" si="160"/>
        <v>0.0%</v>
      </c>
      <c r="L88" s="282" t="str">
        <f t="shared" si="161"/>
        <v>0.0%</v>
      </c>
      <c r="M88" s="391">
        <f t="shared" si="162"/>
        <v>0</v>
      </c>
      <c r="N88" s="303" t="str">
        <f t="shared" si="163"/>
        <v>0.0%</v>
      </c>
      <c r="O88" s="283" t="str">
        <f t="shared" si="164"/>
        <v>0.0%</v>
      </c>
      <c r="P88" s="386"/>
      <c r="Q88" s="260" t="str">
        <f t="shared" si="165"/>
        <v>0.0%</v>
      </c>
      <c r="R88" s="261" t="str">
        <f t="shared" si="166"/>
        <v>0.0%</v>
      </c>
      <c r="S88" s="386"/>
      <c r="T88" s="260" t="str">
        <f t="shared" si="167"/>
        <v>0.0%</v>
      </c>
      <c r="U88" s="307" t="str">
        <f t="shared" si="168"/>
        <v>0.0%</v>
      </c>
      <c r="V88" s="386"/>
      <c r="W88" s="260" t="str">
        <f t="shared" si="169"/>
        <v>0.0%</v>
      </c>
      <c r="X88" s="307" t="str">
        <f t="shared" si="170"/>
        <v>0.0%</v>
      </c>
      <c r="Y88" s="391">
        <f t="shared" si="171"/>
        <v>0</v>
      </c>
      <c r="Z88" s="260" t="str">
        <f t="shared" si="172"/>
        <v>0.0%</v>
      </c>
      <c r="AA88" s="307" t="str">
        <f t="shared" si="173"/>
        <v>0.0%</v>
      </c>
      <c r="AB88" s="386"/>
      <c r="AC88" s="260" t="str">
        <f t="shared" si="174"/>
        <v>0.0%</v>
      </c>
      <c r="AD88" s="307" t="str">
        <f t="shared" si="175"/>
        <v>0.0%</v>
      </c>
      <c r="AE88" s="386"/>
      <c r="AF88" s="260" t="str">
        <f t="shared" si="176"/>
        <v>0.0%</v>
      </c>
      <c r="AG88" s="307" t="str">
        <f t="shared" si="177"/>
        <v>0.0%</v>
      </c>
      <c r="AH88" s="386"/>
      <c r="AI88" s="260" t="str">
        <f t="shared" si="178"/>
        <v>0.0%</v>
      </c>
      <c r="AJ88" s="307" t="str">
        <f t="shared" si="179"/>
        <v>0.0%</v>
      </c>
      <c r="AK88" s="391">
        <f t="shared" si="138"/>
        <v>0</v>
      </c>
      <c r="AL88" s="260" t="str">
        <f t="shared" si="180"/>
        <v>0.0%</v>
      </c>
      <c r="AM88" s="307" t="str">
        <f t="shared" si="181"/>
        <v>0.0%</v>
      </c>
      <c r="AN88" s="386"/>
      <c r="AO88" s="260" t="str">
        <f t="shared" si="182"/>
        <v>0.0%</v>
      </c>
      <c r="AP88" s="307" t="str">
        <f t="shared" si="183"/>
        <v>0.0%</v>
      </c>
      <c r="AQ88" s="386"/>
      <c r="AR88" s="260" t="str">
        <f t="shared" si="184"/>
        <v>0.0%</v>
      </c>
      <c r="AS88" s="307" t="str">
        <f t="shared" si="185"/>
        <v>0.0%</v>
      </c>
      <c r="AT88" s="386"/>
      <c r="AU88" s="260" t="str">
        <f t="shared" si="186"/>
        <v>0.0%</v>
      </c>
      <c r="AV88" s="307" t="str">
        <f t="shared" si="187"/>
        <v>0.0%</v>
      </c>
      <c r="AW88" s="391">
        <f t="shared" si="188"/>
        <v>0</v>
      </c>
      <c r="AX88" s="260" t="str">
        <f t="shared" si="189"/>
        <v>0.0%</v>
      </c>
      <c r="AY88" s="307" t="str">
        <f t="shared" si="190"/>
        <v>0.0%</v>
      </c>
      <c r="AZ88" s="391">
        <f t="shared" si="191"/>
        <v>0</v>
      </c>
      <c r="BA88" s="260" t="str">
        <f t="shared" si="192"/>
        <v>0.0%</v>
      </c>
      <c r="BB88" s="261" t="str">
        <f t="shared" si="193"/>
        <v>0.0%</v>
      </c>
      <c r="BC88" s="391">
        <f t="shared" si="194"/>
        <v>0</v>
      </c>
      <c r="BD88" s="260" t="str">
        <f t="shared" si="195"/>
        <v>0.0%</v>
      </c>
      <c r="BE88" s="261" t="str">
        <f t="shared" si="196"/>
        <v>0.0%</v>
      </c>
      <c r="BF88" s="391">
        <f t="shared" si="197"/>
        <v>0</v>
      </c>
      <c r="BG88" s="260" t="str">
        <f t="shared" si="198"/>
        <v>0.0%</v>
      </c>
      <c r="BH88" s="261" t="str">
        <f t="shared" si="199"/>
        <v>0.0%</v>
      </c>
      <c r="BI88" s="391">
        <f t="shared" si="200"/>
        <v>0</v>
      </c>
      <c r="BJ88" s="260" t="str">
        <f t="shared" si="201"/>
        <v>0.0%</v>
      </c>
      <c r="BK88" s="261" t="str">
        <f t="shared" si="202"/>
        <v>0.0%</v>
      </c>
      <c r="BL88" s="391">
        <f t="shared" si="203"/>
        <v>0</v>
      </c>
      <c r="BM88" s="260" t="str">
        <f t="shared" si="204"/>
        <v>0.0%</v>
      </c>
    </row>
    <row r="89" spans="1:65" s="233" customFormat="1" ht="12" x14ac:dyDescent="0.2">
      <c r="A89" s="242"/>
      <c r="B89" s="386"/>
      <c r="C89" s="387">
        <f t="shared" si="122"/>
        <v>0</v>
      </c>
      <c r="D89" s="386"/>
      <c r="E89" s="260" t="str">
        <f t="shared" si="156"/>
        <v>0.0%</v>
      </c>
      <c r="F89" s="261" t="str">
        <f t="shared" si="157"/>
        <v>0.0%</v>
      </c>
      <c r="G89" s="386"/>
      <c r="H89" s="260" t="str">
        <f t="shared" si="158"/>
        <v>0.0%</v>
      </c>
      <c r="I89" s="261" t="str">
        <f t="shared" si="159"/>
        <v>0.0%</v>
      </c>
      <c r="J89" s="386"/>
      <c r="K89" s="303" t="str">
        <f t="shared" si="160"/>
        <v>0.0%</v>
      </c>
      <c r="L89" s="282" t="str">
        <f t="shared" si="161"/>
        <v>0.0%</v>
      </c>
      <c r="M89" s="391">
        <f t="shared" si="162"/>
        <v>0</v>
      </c>
      <c r="N89" s="303" t="str">
        <f t="shared" si="163"/>
        <v>0.0%</v>
      </c>
      <c r="O89" s="283" t="str">
        <f t="shared" si="164"/>
        <v>0.0%</v>
      </c>
      <c r="P89" s="386"/>
      <c r="Q89" s="260" t="str">
        <f t="shared" si="165"/>
        <v>0.0%</v>
      </c>
      <c r="R89" s="261" t="str">
        <f t="shared" si="166"/>
        <v>0.0%</v>
      </c>
      <c r="S89" s="386"/>
      <c r="T89" s="260" t="str">
        <f t="shared" si="167"/>
        <v>0.0%</v>
      </c>
      <c r="U89" s="307" t="str">
        <f t="shared" si="168"/>
        <v>0.0%</v>
      </c>
      <c r="V89" s="386"/>
      <c r="W89" s="260" t="str">
        <f t="shared" si="169"/>
        <v>0.0%</v>
      </c>
      <c r="X89" s="307" t="str">
        <f t="shared" si="170"/>
        <v>0.0%</v>
      </c>
      <c r="Y89" s="391">
        <f t="shared" si="171"/>
        <v>0</v>
      </c>
      <c r="Z89" s="260" t="str">
        <f t="shared" si="172"/>
        <v>0.0%</v>
      </c>
      <c r="AA89" s="307" t="str">
        <f t="shared" si="173"/>
        <v>0.0%</v>
      </c>
      <c r="AB89" s="386"/>
      <c r="AC89" s="260" t="str">
        <f t="shared" si="174"/>
        <v>0.0%</v>
      </c>
      <c r="AD89" s="307" t="str">
        <f t="shared" si="175"/>
        <v>0.0%</v>
      </c>
      <c r="AE89" s="386"/>
      <c r="AF89" s="260" t="str">
        <f t="shared" si="176"/>
        <v>0.0%</v>
      </c>
      <c r="AG89" s="307" t="str">
        <f t="shared" si="177"/>
        <v>0.0%</v>
      </c>
      <c r="AH89" s="386"/>
      <c r="AI89" s="260" t="str">
        <f t="shared" si="178"/>
        <v>0.0%</v>
      </c>
      <c r="AJ89" s="307" t="str">
        <f t="shared" si="179"/>
        <v>0.0%</v>
      </c>
      <c r="AK89" s="391">
        <f t="shared" si="138"/>
        <v>0</v>
      </c>
      <c r="AL89" s="260" t="str">
        <f t="shared" si="180"/>
        <v>0.0%</v>
      </c>
      <c r="AM89" s="307" t="str">
        <f t="shared" si="181"/>
        <v>0.0%</v>
      </c>
      <c r="AN89" s="386"/>
      <c r="AO89" s="260" t="str">
        <f t="shared" si="182"/>
        <v>0.0%</v>
      </c>
      <c r="AP89" s="307" t="str">
        <f t="shared" si="183"/>
        <v>0.0%</v>
      </c>
      <c r="AQ89" s="386"/>
      <c r="AR89" s="260" t="str">
        <f t="shared" si="184"/>
        <v>0.0%</v>
      </c>
      <c r="AS89" s="307" t="str">
        <f t="shared" si="185"/>
        <v>0.0%</v>
      </c>
      <c r="AT89" s="386"/>
      <c r="AU89" s="260" t="str">
        <f t="shared" si="186"/>
        <v>0.0%</v>
      </c>
      <c r="AV89" s="307" t="str">
        <f t="shared" si="187"/>
        <v>0.0%</v>
      </c>
      <c r="AW89" s="391">
        <f t="shared" si="188"/>
        <v>0</v>
      </c>
      <c r="AX89" s="260" t="str">
        <f t="shared" si="189"/>
        <v>0.0%</v>
      </c>
      <c r="AY89" s="307" t="str">
        <f t="shared" si="190"/>
        <v>0.0%</v>
      </c>
      <c r="AZ89" s="391">
        <f t="shared" si="191"/>
        <v>0</v>
      </c>
      <c r="BA89" s="260" t="str">
        <f t="shared" si="192"/>
        <v>0.0%</v>
      </c>
      <c r="BB89" s="261" t="str">
        <f t="shared" si="193"/>
        <v>0.0%</v>
      </c>
      <c r="BC89" s="391">
        <f t="shared" si="194"/>
        <v>0</v>
      </c>
      <c r="BD89" s="260" t="str">
        <f t="shared" si="195"/>
        <v>0.0%</v>
      </c>
      <c r="BE89" s="261" t="str">
        <f t="shared" si="196"/>
        <v>0.0%</v>
      </c>
      <c r="BF89" s="391">
        <f t="shared" si="197"/>
        <v>0</v>
      </c>
      <c r="BG89" s="260" t="str">
        <f t="shared" si="198"/>
        <v>0.0%</v>
      </c>
      <c r="BH89" s="261" t="str">
        <f t="shared" si="199"/>
        <v>0.0%</v>
      </c>
      <c r="BI89" s="391">
        <f t="shared" si="200"/>
        <v>0</v>
      </c>
      <c r="BJ89" s="260" t="str">
        <f t="shared" si="201"/>
        <v>0.0%</v>
      </c>
      <c r="BK89" s="261" t="str">
        <f t="shared" si="202"/>
        <v>0.0%</v>
      </c>
      <c r="BL89" s="391">
        <f t="shared" si="203"/>
        <v>0</v>
      </c>
      <c r="BM89" s="260" t="str">
        <f t="shared" si="204"/>
        <v>0.0%</v>
      </c>
    </row>
    <row r="90" spans="1:65" s="233" customFormat="1" ht="12" x14ac:dyDescent="0.2">
      <c r="A90" s="242"/>
      <c r="B90" s="386"/>
      <c r="C90" s="387">
        <f t="shared" si="122"/>
        <v>0</v>
      </c>
      <c r="D90" s="386"/>
      <c r="E90" s="260" t="str">
        <f t="shared" si="156"/>
        <v>0.0%</v>
      </c>
      <c r="F90" s="261" t="str">
        <f t="shared" si="157"/>
        <v>0.0%</v>
      </c>
      <c r="G90" s="386"/>
      <c r="H90" s="260" t="str">
        <f t="shared" si="158"/>
        <v>0.0%</v>
      </c>
      <c r="I90" s="261" t="str">
        <f t="shared" si="159"/>
        <v>0.0%</v>
      </c>
      <c r="J90" s="386"/>
      <c r="K90" s="303" t="str">
        <f t="shared" si="160"/>
        <v>0.0%</v>
      </c>
      <c r="L90" s="282" t="str">
        <f t="shared" si="161"/>
        <v>0.0%</v>
      </c>
      <c r="M90" s="391">
        <f t="shared" si="162"/>
        <v>0</v>
      </c>
      <c r="N90" s="303" t="str">
        <f t="shared" si="163"/>
        <v>0.0%</v>
      </c>
      <c r="O90" s="283" t="str">
        <f t="shared" si="164"/>
        <v>0.0%</v>
      </c>
      <c r="P90" s="386"/>
      <c r="Q90" s="260" t="str">
        <f t="shared" si="165"/>
        <v>0.0%</v>
      </c>
      <c r="R90" s="261" t="str">
        <f t="shared" si="166"/>
        <v>0.0%</v>
      </c>
      <c r="S90" s="386"/>
      <c r="T90" s="260" t="str">
        <f t="shared" si="167"/>
        <v>0.0%</v>
      </c>
      <c r="U90" s="307" t="str">
        <f t="shared" si="168"/>
        <v>0.0%</v>
      </c>
      <c r="V90" s="386"/>
      <c r="W90" s="260" t="str">
        <f t="shared" si="169"/>
        <v>0.0%</v>
      </c>
      <c r="X90" s="307" t="str">
        <f t="shared" si="170"/>
        <v>0.0%</v>
      </c>
      <c r="Y90" s="391">
        <f t="shared" si="171"/>
        <v>0</v>
      </c>
      <c r="Z90" s="260" t="str">
        <f t="shared" si="172"/>
        <v>0.0%</v>
      </c>
      <c r="AA90" s="307" t="str">
        <f t="shared" si="173"/>
        <v>0.0%</v>
      </c>
      <c r="AB90" s="386"/>
      <c r="AC90" s="260" t="str">
        <f t="shared" si="174"/>
        <v>0.0%</v>
      </c>
      <c r="AD90" s="307" t="str">
        <f t="shared" si="175"/>
        <v>0.0%</v>
      </c>
      <c r="AE90" s="386"/>
      <c r="AF90" s="260" t="str">
        <f t="shared" si="176"/>
        <v>0.0%</v>
      </c>
      <c r="AG90" s="307" t="str">
        <f t="shared" si="177"/>
        <v>0.0%</v>
      </c>
      <c r="AH90" s="386"/>
      <c r="AI90" s="260" t="str">
        <f t="shared" si="178"/>
        <v>0.0%</v>
      </c>
      <c r="AJ90" s="307" t="str">
        <f t="shared" si="179"/>
        <v>0.0%</v>
      </c>
      <c r="AK90" s="391">
        <f t="shared" si="138"/>
        <v>0</v>
      </c>
      <c r="AL90" s="260" t="str">
        <f t="shared" si="180"/>
        <v>0.0%</v>
      </c>
      <c r="AM90" s="307" t="str">
        <f t="shared" si="181"/>
        <v>0.0%</v>
      </c>
      <c r="AN90" s="386"/>
      <c r="AO90" s="260" t="str">
        <f t="shared" si="182"/>
        <v>0.0%</v>
      </c>
      <c r="AP90" s="307" t="str">
        <f t="shared" si="183"/>
        <v>0.0%</v>
      </c>
      <c r="AQ90" s="386"/>
      <c r="AR90" s="260" t="str">
        <f t="shared" si="184"/>
        <v>0.0%</v>
      </c>
      <c r="AS90" s="307" t="str">
        <f t="shared" si="185"/>
        <v>0.0%</v>
      </c>
      <c r="AT90" s="386"/>
      <c r="AU90" s="260" t="str">
        <f t="shared" si="186"/>
        <v>0.0%</v>
      </c>
      <c r="AV90" s="307" t="str">
        <f t="shared" si="187"/>
        <v>0.0%</v>
      </c>
      <c r="AW90" s="391">
        <f t="shared" si="188"/>
        <v>0</v>
      </c>
      <c r="AX90" s="260" t="str">
        <f t="shared" si="189"/>
        <v>0.0%</v>
      </c>
      <c r="AY90" s="307" t="str">
        <f t="shared" si="190"/>
        <v>0.0%</v>
      </c>
      <c r="AZ90" s="391">
        <f t="shared" si="191"/>
        <v>0</v>
      </c>
      <c r="BA90" s="260" t="str">
        <f t="shared" si="192"/>
        <v>0.0%</v>
      </c>
      <c r="BB90" s="261" t="str">
        <f t="shared" si="193"/>
        <v>0.0%</v>
      </c>
      <c r="BC90" s="391">
        <f t="shared" si="194"/>
        <v>0</v>
      </c>
      <c r="BD90" s="260" t="str">
        <f t="shared" si="195"/>
        <v>0.0%</v>
      </c>
      <c r="BE90" s="261" t="str">
        <f t="shared" si="196"/>
        <v>0.0%</v>
      </c>
      <c r="BF90" s="391">
        <f t="shared" si="197"/>
        <v>0</v>
      </c>
      <c r="BG90" s="260" t="str">
        <f t="shared" si="198"/>
        <v>0.0%</v>
      </c>
      <c r="BH90" s="261" t="str">
        <f t="shared" si="199"/>
        <v>0.0%</v>
      </c>
      <c r="BI90" s="391">
        <f t="shared" si="200"/>
        <v>0</v>
      </c>
      <c r="BJ90" s="260" t="str">
        <f t="shared" si="201"/>
        <v>0.0%</v>
      </c>
      <c r="BK90" s="261" t="str">
        <f t="shared" si="202"/>
        <v>0.0%</v>
      </c>
      <c r="BL90" s="391">
        <f t="shared" si="203"/>
        <v>0</v>
      </c>
      <c r="BM90" s="260" t="str">
        <f t="shared" si="204"/>
        <v>0.0%</v>
      </c>
    </row>
    <row r="91" spans="1:65" s="233" customFormat="1" ht="12" x14ac:dyDescent="0.2">
      <c r="A91" s="242"/>
      <c r="B91" s="386"/>
      <c r="C91" s="387">
        <f t="shared" si="122"/>
        <v>0</v>
      </c>
      <c r="D91" s="386"/>
      <c r="E91" s="260" t="str">
        <f t="shared" si="156"/>
        <v>0.0%</v>
      </c>
      <c r="F91" s="261" t="str">
        <f t="shared" si="157"/>
        <v>0.0%</v>
      </c>
      <c r="G91" s="386"/>
      <c r="H91" s="260" t="str">
        <f t="shared" si="158"/>
        <v>0.0%</v>
      </c>
      <c r="I91" s="261" t="str">
        <f t="shared" si="159"/>
        <v>0.0%</v>
      </c>
      <c r="J91" s="386"/>
      <c r="K91" s="303" t="str">
        <f t="shared" si="160"/>
        <v>0.0%</v>
      </c>
      <c r="L91" s="282" t="str">
        <f t="shared" si="161"/>
        <v>0.0%</v>
      </c>
      <c r="M91" s="391">
        <f t="shared" si="162"/>
        <v>0</v>
      </c>
      <c r="N91" s="303" t="str">
        <f t="shared" si="163"/>
        <v>0.0%</v>
      </c>
      <c r="O91" s="283" t="str">
        <f t="shared" si="164"/>
        <v>0.0%</v>
      </c>
      <c r="P91" s="386"/>
      <c r="Q91" s="260" t="str">
        <f t="shared" si="165"/>
        <v>0.0%</v>
      </c>
      <c r="R91" s="261" t="str">
        <f t="shared" si="166"/>
        <v>0.0%</v>
      </c>
      <c r="S91" s="386"/>
      <c r="T91" s="260" t="str">
        <f t="shared" si="167"/>
        <v>0.0%</v>
      </c>
      <c r="U91" s="307" t="str">
        <f t="shared" si="168"/>
        <v>0.0%</v>
      </c>
      <c r="V91" s="386"/>
      <c r="W91" s="260" t="str">
        <f t="shared" si="169"/>
        <v>0.0%</v>
      </c>
      <c r="X91" s="307" t="str">
        <f t="shared" si="170"/>
        <v>0.0%</v>
      </c>
      <c r="Y91" s="391">
        <f t="shared" si="171"/>
        <v>0</v>
      </c>
      <c r="Z91" s="260" t="str">
        <f t="shared" si="172"/>
        <v>0.0%</v>
      </c>
      <c r="AA91" s="307" t="str">
        <f t="shared" si="173"/>
        <v>0.0%</v>
      </c>
      <c r="AB91" s="386"/>
      <c r="AC91" s="260" t="str">
        <f t="shared" si="174"/>
        <v>0.0%</v>
      </c>
      <c r="AD91" s="307" t="str">
        <f t="shared" si="175"/>
        <v>0.0%</v>
      </c>
      <c r="AE91" s="386"/>
      <c r="AF91" s="260" t="str">
        <f t="shared" si="176"/>
        <v>0.0%</v>
      </c>
      <c r="AG91" s="307" t="str">
        <f t="shared" si="177"/>
        <v>0.0%</v>
      </c>
      <c r="AH91" s="386"/>
      <c r="AI91" s="260" t="str">
        <f t="shared" si="178"/>
        <v>0.0%</v>
      </c>
      <c r="AJ91" s="307" t="str">
        <f t="shared" si="179"/>
        <v>0.0%</v>
      </c>
      <c r="AK91" s="391">
        <f t="shared" si="138"/>
        <v>0</v>
      </c>
      <c r="AL91" s="260" t="str">
        <f t="shared" si="180"/>
        <v>0.0%</v>
      </c>
      <c r="AM91" s="307" t="str">
        <f t="shared" si="181"/>
        <v>0.0%</v>
      </c>
      <c r="AN91" s="386"/>
      <c r="AO91" s="260" t="str">
        <f t="shared" si="182"/>
        <v>0.0%</v>
      </c>
      <c r="AP91" s="307" t="str">
        <f t="shared" si="183"/>
        <v>0.0%</v>
      </c>
      <c r="AQ91" s="386"/>
      <c r="AR91" s="260" t="str">
        <f t="shared" si="184"/>
        <v>0.0%</v>
      </c>
      <c r="AS91" s="307" t="str">
        <f t="shared" si="185"/>
        <v>0.0%</v>
      </c>
      <c r="AT91" s="386"/>
      <c r="AU91" s="260" t="str">
        <f t="shared" si="186"/>
        <v>0.0%</v>
      </c>
      <c r="AV91" s="307" t="str">
        <f t="shared" si="187"/>
        <v>0.0%</v>
      </c>
      <c r="AW91" s="391">
        <f t="shared" si="188"/>
        <v>0</v>
      </c>
      <c r="AX91" s="260" t="str">
        <f t="shared" si="189"/>
        <v>0.0%</v>
      </c>
      <c r="AY91" s="307" t="str">
        <f t="shared" si="190"/>
        <v>0.0%</v>
      </c>
      <c r="AZ91" s="391">
        <f t="shared" si="191"/>
        <v>0</v>
      </c>
      <c r="BA91" s="260" t="str">
        <f t="shared" si="192"/>
        <v>0.0%</v>
      </c>
      <c r="BB91" s="261" t="str">
        <f t="shared" si="193"/>
        <v>0.0%</v>
      </c>
      <c r="BC91" s="391">
        <f t="shared" si="194"/>
        <v>0</v>
      </c>
      <c r="BD91" s="260" t="str">
        <f t="shared" si="195"/>
        <v>0.0%</v>
      </c>
      <c r="BE91" s="261" t="str">
        <f t="shared" si="196"/>
        <v>0.0%</v>
      </c>
      <c r="BF91" s="391">
        <f t="shared" si="197"/>
        <v>0</v>
      </c>
      <c r="BG91" s="260" t="str">
        <f t="shared" si="198"/>
        <v>0.0%</v>
      </c>
      <c r="BH91" s="261" t="str">
        <f t="shared" si="199"/>
        <v>0.0%</v>
      </c>
      <c r="BI91" s="391">
        <f t="shared" si="200"/>
        <v>0</v>
      </c>
      <c r="BJ91" s="260" t="str">
        <f t="shared" si="201"/>
        <v>0.0%</v>
      </c>
      <c r="BK91" s="261" t="str">
        <f t="shared" si="202"/>
        <v>0.0%</v>
      </c>
      <c r="BL91" s="391">
        <f t="shared" si="203"/>
        <v>0</v>
      </c>
      <c r="BM91" s="260" t="str">
        <f t="shared" si="204"/>
        <v>0.0%</v>
      </c>
    </row>
    <row r="92" spans="1:65" s="233" customFormat="1" ht="12" x14ac:dyDescent="0.2">
      <c r="A92" s="242"/>
      <c r="B92" s="386"/>
      <c r="C92" s="387">
        <f t="shared" si="122"/>
        <v>0</v>
      </c>
      <c r="D92" s="386"/>
      <c r="E92" s="260" t="str">
        <f t="shared" si="156"/>
        <v>0.0%</v>
      </c>
      <c r="F92" s="261" t="str">
        <f t="shared" si="157"/>
        <v>0.0%</v>
      </c>
      <c r="G92" s="386"/>
      <c r="H92" s="260" t="str">
        <f t="shared" si="158"/>
        <v>0.0%</v>
      </c>
      <c r="I92" s="261" t="str">
        <f t="shared" si="159"/>
        <v>0.0%</v>
      </c>
      <c r="J92" s="386"/>
      <c r="K92" s="303" t="str">
        <f t="shared" si="160"/>
        <v>0.0%</v>
      </c>
      <c r="L92" s="282" t="str">
        <f t="shared" si="161"/>
        <v>0.0%</v>
      </c>
      <c r="M92" s="391">
        <f t="shared" si="162"/>
        <v>0</v>
      </c>
      <c r="N92" s="303" t="str">
        <f t="shared" si="163"/>
        <v>0.0%</v>
      </c>
      <c r="O92" s="283" t="str">
        <f t="shared" si="164"/>
        <v>0.0%</v>
      </c>
      <c r="P92" s="386"/>
      <c r="Q92" s="260" t="str">
        <f t="shared" si="165"/>
        <v>0.0%</v>
      </c>
      <c r="R92" s="261" t="str">
        <f t="shared" si="166"/>
        <v>0.0%</v>
      </c>
      <c r="S92" s="386"/>
      <c r="T92" s="260" t="str">
        <f t="shared" si="167"/>
        <v>0.0%</v>
      </c>
      <c r="U92" s="307" t="str">
        <f t="shared" si="168"/>
        <v>0.0%</v>
      </c>
      <c r="V92" s="386"/>
      <c r="W92" s="260" t="str">
        <f t="shared" si="169"/>
        <v>0.0%</v>
      </c>
      <c r="X92" s="307" t="str">
        <f t="shared" si="170"/>
        <v>0.0%</v>
      </c>
      <c r="Y92" s="391">
        <f t="shared" si="171"/>
        <v>0</v>
      </c>
      <c r="Z92" s="260" t="str">
        <f t="shared" si="172"/>
        <v>0.0%</v>
      </c>
      <c r="AA92" s="307" t="str">
        <f t="shared" si="173"/>
        <v>0.0%</v>
      </c>
      <c r="AB92" s="386"/>
      <c r="AC92" s="260" t="str">
        <f t="shared" si="174"/>
        <v>0.0%</v>
      </c>
      <c r="AD92" s="307" t="str">
        <f t="shared" si="175"/>
        <v>0.0%</v>
      </c>
      <c r="AE92" s="386"/>
      <c r="AF92" s="260" t="str">
        <f t="shared" si="176"/>
        <v>0.0%</v>
      </c>
      <c r="AG92" s="307" t="str">
        <f t="shared" si="177"/>
        <v>0.0%</v>
      </c>
      <c r="AH92" s="386"/>
      <c r="AI92" s="260" t="str">
        <f t="shared" si="178"/>
        <v>0.0%</v>
      </c>
      <c r="AJ92" s="307" t="str">
        <f t="shared" si="179"/>
        <v>0.0%</v>
      </c>
      <c r="AK92" s="391">
        <f t="shared" si="138"/>
        <v>0</v>
      </c>
      <c r="AL92" s="260" t="str">
        <f t="shared" si="180"/>
        <v>0.0%</v>
      </c>
      <c r="AM92" s="307" t="str">
        <f t="shared" si="181"/>
        <v>0.0%</v>
      </c>
      <c r="AN92" s="386"/>
      <c r="AO92" s="260" t="str">
        <f t="shared" si="182"/>
        <v>0.0%</v>
      </c>
      <c r="AP92" s="307" t="str">
        <f t="shared" si="183"/>
        <v>0.0%</v>
      </c>
      <c r="AQ92" s="386"/>
      <c r="AR92" s="260" t="str">
        <f t="shared" si="184"/>
        <v>0.0%</v>
      </c>
      <c r="AS92" s="307" t="str">
        <f t="shared" si="185"/>
        <v>0.0%</v>
      </c>
      <c r="AT92" s="386"/>
      <c r="AU92" s="260" t="str">
        <f t="shared" si="186"/>
        <v>0.0%</v>
      </c>
      <c r="AV92" s="307" t="str">
        <f t="shared" si="187"/>
        <v>0.0%</v>
      </c>
      <c r="AW92" s="391">
        <f t="shared" si="188"/>
        <v>0</v>
      </c>
      <c r="AX92" s="260" t="str">
        <f t="shared" si="189"/>
        <v>0.0%</v>
      </c>
      <c r="AY92" s="307" t="str">
        <f t="shared" si="190"/>
        <v>0.0%</v>
      </c>
      <c r="AZ92" s="391">
        <f t="shared" si="191"/>
        <v>0</v>
      </c>
      <c r="BA92" s="260" t="str">
        <f t="shared" si="192"/>
        <v>0.0%</v>
      </c>
      <c r="BB92" s="261" t="str">
        <f t="shared" si="193"/>
        <v>0.0%</v>
      </c>
      <c r="BC92" s="391">
        <f t="shared" si="194"/>
        <v>0</v>
      </c>
      <c r="BD92" s="260" t="str">
        <f t="shared" si="195"/>
        <v>0.0%</v>
      </c>
      <c r="BE92" s="261" t="str">
        <f t="shared" si="196"/>
        <v>0.0%</v>
      </c>
      <c r="BF92" s="391">
        <f t="shared" si="197"/>
        <v>0</v>
      </c>
      <c r="BG92" s="260" t="str">
        <f t="shared" si="198"/>
        <v>0.0%</v>
      </c>
      <c r="BH92" s="261" t="str">
        <f t="shared" si="199"/>
        <v>0.0%</v>
      </c>
      <c r="BI92" s="391">
        <f t="shared" si="200"/>
        <v>0</v>
      </c>
      <c r="BJ92" s="260" t="str">
        <f t="shared" si="201"/>
        <v>0.0%</v>
      </c>
      <c r="BK92" s="261" t="str">
        <f t="shared" si="202"/>
        <v>0.0%</v>
      </c>
      <c r="BL92" s="391">
        <f t="shared" si="203"/>
        <v>0</v>
      </c>
      <c r="BM92" s="260" t="str">
        <f t="shared" si="204"/>
        <v>0.0%</v>
      </c>
    </row>
    <row r="93" spans="1:65" s="233" customFormat="1" thickBot="1" x14ac:dyDescent="0.25">
      <c r="A93" s="253"/>
      <c r="B93" s="393"/>
      <c r="C93" s="394">
        <f t="shared" si="122"/>
        <v>0</v>
      </c>
      <c r="D93" s="393"/>
      <c r="E93" s="262" t="str">
        <f t="shared" si="156"/>
        <v>0.0%</v>
      </c>
      <c r="F93" s="263" t="str">
        <f t="shared" si="157"/>
        <v>0.0%</v>
      </c>
      <c r="G93" s="386"/>
      <c r="H93" s="260" t="str">
        <f t="shared" si="158"/>
        <v>0.0%</v>
      </c>
      <c r="I93" s="261" t="str">
        <f t="shared" si="159"/>
        <v>0.0%</v>
      </c>
      <c r="J93" s="386"/>
      <c r="K93" s="303" t="str">
        <f t="shared" si="160"/>
        <v>0.0%</v>
      </c>
      <c r="L93" s="282" t="str">
        <f t="shared" si="161"/>
        <v>0.0%</v>
      </c>
      <c r="M93" s="391">
        <f t="shared" si="162"/>
        <v>0</v>
      </c>
      <c r="N93" s="303" t="str">
        <f t="shared" si="163"/>
        <v>0.0%</v>
      </c>
      <c r="O93" s="283" t="str">
        <f t="shared" si="164"/>
        <v>0.0%</v>
      </c>
      <c r="P93" s="386"/>
      <c r="Q93" s="260" t="str">
        <f t="shared" si="165"/>
        <v>0.0%</v>
      </c>
      <c r="R93" s="261" t="str">
        <f t="shared" si="166"/>
        <v>0.0%</v>
      </c>
      <c r="S93" s="386"/>
      <c r="T93" s="260" t="str">
        <f t="shared" si="167"/>
        <v>0.0%</v>
      </c>
      <c r="U93" s="307" t="str">
        <f t="shared" si="168"/>
        <v>0.0%</v>
      </c>
      <c r="V93" s="386"/>
      <c r="W93" s="260" t="str">
        <f t="shared" si="169"/>
        <v>0.0%</v>
      </c>
      <c r="X93" s="307" t="str">
        <f t="shared" si="170"/>
        <v>0.0%</v>
      </c>
      <c r="Y93" s="391">
        <f t="shared" si="171"/>
        <v>0</v>
      </c>
      <c r="Z93" s="260" t="str">
        <f t="shared" si="172"/>
        <v>0.0%</v>
      </c>
      <c r="AA93" s="307" t="str">
        <f t="shared" si="173"/>
        <v>0.0%</v>
      </c>
      <c r="AB93" s="386"/>
      <c r="AC93" s="260" t="str">
        <f t="shared" si="174"/>
        <v>0.0%</v>
      </c>
      <c r="AD93" s="307" t="str">
        <f t="shared" si="175"/>
        <v>0.0%</v>
      </c>
      <c r="AE93" s="386"/>
      <c r="AF93" s="260" t="str">
        <f t="shared" si="176"/>
        <v>0.0%</v>
      </c>
      <c r="AG93" s="307" t="str">
        <f t="shared" si="177"/>
        <v>0.0%</v>
      </c>
      <c r="AH93" s="386"/>
      <c r="AI93" s="260" t="str">
        <f t="shared" si="178"/>
        <v>0.0%</v>
      </c>
      <c r="AJ93" s="307" t="str">
        <f t="shared" si="179"/>
        <v>0.0%</v>
      </c>
      <c r="AK93" s="399">
        <f t="shared" si="138"/>
        <v>0</v>
      </c>
      <c r="AL93" s="262" t="str">
        <f t="shared" si="180"/>
        <v>0.0%</v>
      </c>
      <c r="AM93" s="313" t="str">
        <f t="shared" si="181"/>
        <v>0.0%</v>
      </c>
      <c r="AN93" s="386"/>
      <c r="AO93" s="260" t="str">
        <f t="shared" si="182"/>
        <v>0.0%</v>
      </c>
      <c r="AP93" s="307" t="str">
        <f t="shared" si="183"/>
        <v>0.0%</v>
      </c>
      <c r="AQ93" s="386"/>
      <c r="AR93" s="260" t="str">
        <f t="shared" si="184"/>
        <v>0.0%</v>
      </c>
      <c r="AS93" s="307" t="str">
        <f t="shared" si="185"/>
        <v>0.0%</v>
      </c>
      <c r="AT93" s="386"/>
      <c r="AU93" s="260" t="str">
        <f t="shared" si="186"/>
        <v>0.0%</v>
      </c>
      <c r="AV93" s="307" t="str">
        <f t="shared" si="187"/>
        <v>0.0%</v>
      </c>
      <c r="AW93" s="391">
        <f t="shared" si="188"/>
        <v>0</v>
      </c>
      <c r="AX93" s="260" t="str">
        <f t="shared" si="189"/>
        <v>0.0%</v>
      </c>
      <c r="AY93" s="307" t="str">
        <f t="shared" si="190"/>
        <v>0.0%</v>
      </c>
      <c r="AZ93" s="399">
        <f t="shared" si="191"/>
        <v>0</v>
      </c>
      <c r="BA93" s="262" t="str">
        <f t="shared" si="192"/>
        <v>0.0%</v>
      </c>
      <c r="BB93" s="263" t="str">
        <f t="shared" si="193"/>
        <v>0.0%</v>
      </c>
      <c r="BC93" s="399">
        <f t="shared" si="194"/>
        <v>0</v>
      </c>
      <c r="BD93" s="262" t="str">
        <f t="shared" si="195"/>
        <v>0.0%</v>
      </c>
      <c r="BE93" s="263" t="str">
        <f t="shared" si="196"/>
        <v>0.0%</v>
      </c>
      <c r="BF93" s="399">
        <f t="shared" si="197"/>
        <v>0</v>
      </c>
      <c r="BG93" s="262" t="str">
        <f t="shared" si="198"/>
        <v>0.0%</v>
      </c>
      <c r="BH93" s="263" t="str">
        <f t="shared" si="199"/>
        <v>0.0%</v>
      </c>
      <c r="BI93" s="399">
        <f t="shared" si="200"/>
        <v>0</v>
      </c>
      <c r="BJ93" s="262" t="str">
        <f t="shared" si="201"/>
        <v>0.0%</v>
      </c>
      <c r="BK93" s="263" t="str">
        <f t="shared" si="202"/>
        <v>0.0%</v>
      </c>
      <c r="BL93" s="399">
        <f t="shared" si="203"/>
        <v>0</v>
      </c>
      <c r="BM93" s="262" t="str">
        <f t="shared" si="204"/>
        <v>0.0%</v>
      </c>
    </row>
    <row r="94" spans="1:65" s="234" customFormat="1" ht="12" x14ac:dyDescent="0.2">
      <c r="A94" s="241" t="s">
        <v>233</v>
      </c>
      <c r="B94" s="384">
        <f>ROUND(SUM(B63:B93),0)</f>
        <v>0</v>
      </c>
      <c r="C94" s="382">
        <f t="shared" si="122"/>
        <v>0</v>
      </c>
      <c r="D94" s="384">
        <f>ROUND(SUM(D63:D93),0)</f>
        <v>0</v>
      </c>
      <c r="E94" s="273" t="str">
        <f>IFERROR(ROUND((D94-C94)/C94,3),"0.0%")</f>
        <v>0.0%</v>
      </c>
      <c r="F94" s="274" t="str">
        <f>IFERROR(ROUND((D94-C94)/C94,3),"0.0%")</f>
        <v>0.0%</v>
      </c>
      <c r="G94" s="384">
        <f>ROUND(SUM(G63:G93),0)</f>
        <v>0</v>
      </c>
      <c r="H94" s="273" t="str">
        <f>IFERROR(ROUND((G94-C94)/C94,3),"0.0%")</f>
        <v>0.0%</v>
      </c>
      <c r="I94" s="274" t="str">
        <f>IFERROR(ROUND(((G94+D94)-(C94*2))/(C94*2),3),"0.0%")</f>
        <v>0.0%</v>
      </c>
      <c r="J94" s="384">
        <f>ROUND(SUM(J63:J93),0)</f>
        <v>0</v>
      </c>
      <c r="K94" s="273" t="str">
        <f>IFERROR(ROUND((J94-C94)/C94,3),"0.0%")</f>
        <v>0.0%</v>
      </c>
      <c r="L94" s="274" t="str">
        <f>IFERROR(ROUND(((J94+G94+D94)-(C94*3))/(C94*3),3),"0.0%")</f>
        <v>0.0%</v>
      </c>
      <c r="M94" s="384">
        <f t="shared" si="162"/>
        <v>0</v>
      </c>
      <c r="N94" s="273" t="str">
        <f>IFERROR(ROUND((M94-(C94*3))/(C94*3),3),"0.0%")</f>
        <v>0.0%</v>
      </c>
      <c r="O94" s="274" t="str">
        <f>IFERROR(ROUND(((M94)-(C94*3))/(C94*3),3),"0.0%")</f>
        <v>0.0%</v>
      </c>
      <c r="P94" s="384">
        <f>ROUND(SUM(P63:P93),0)</f>
        <v>0</v>
      </c>
      <c r="Q94" s="273" t="str">
        <f>IFERROR(ROUND((P94-C94)/C94,3),"0.0%")</f>
        <v>0.0%</v>
      </c>
      <c r="R94" s="274" t="str">
        <f>IFERROR(ROUND(((P94+M94)-(C94*4))/(C94*4),3),"0.0%")</f>
        <v>0.0%</v>
      </c>
      <c r="S94" s="384">
        <f>ROUND(SUM(S63:S93),0)</f>
        <v>0</v>
      </c>
      <c r="T94" s="273" t="str">
        <f>IFERROR(ROUND((S94-C94)/C94,3),"0.0%")</f>
        <v>0.0%</v>
      </c>
      <c r="U94" s="274" t="str">
        <f>IFERROR(ROUND(((S94+P94+M94)-(C94*5))/(C94*5),3),"0.0%")</f>
        <v>0.0%</v>
      </c>
      <c r="V94" s="384">
        <f>ROUND(SUM(V63:V93),0)</f>
        <v>0</v>
      </c>
      <c r="W94" s="273" t="str">
        <f>IFERROR(ROUND((V94-C94)/C94,3),"0.0%")</f>
        <v>0.0%</v>
      </c>
      <c r="X94" s="274" t="str">
        <f>IFERROR(ROUND(((V94+S94+P94+M94)-(C94*6))/(C94*6),3),"0.0%")</f>
        <v>0.0%</v>
      </c>
      <c r="Y94" s="384">
        <f>ROUND(V94+S94+P94,0)</f>
        <v>0</v>
      </c>
      <c r="Z94" s="273" t="str">
        <f>IFERROR(ROUND((Y94-(C94*3))/(C94*3),3),"0.0%")</f>
        <v>0.0%</v>
      </c>
      <c r="AA94" s="274" t="str">
        <f>IFERROR(ROUND(((Y94+M94)-(C94*6))/(C94*6),3),"0.0%")</f>
        <v>0.0%</v>
      </c>
      <c r="AB94" s="384">
        <f>ROUND(SUM(AB63:AB93),0)</f>
        <v>0</v>
      </c>
      <c r="AC94" s="273" t="str">
        <f>IFERROR(ROUND((AB94-C94)/C94,3),"0.0%")</f>
        <v>0.0%</v>
      </c>
      <c r="AD94" s="274" t="str">
        <f>IFERROR(ROUND(((AB94+Y94+M94)-(C94*7))/(C94*7),3),"0.0%")</f>
        <v>0.0%</v>
      </c>
      <c r="AE94" s="384">
        <f>ROUND(SUM(AE63:AE93),0)</f>
        <v>0</v>
      </c>
      <c r="AF94" s="273" t="str">
        <f>IFERROR(ROUND((AE94-C94)/C94,3),"0.0%")</f>
        <v>0.0%</v>
      </c>
      <c r="AG94" s="274" t="str">
        <f>IFERROR(ROUND(((AE94+AB94+Y94+M94)-(C94*8))/(C94*8),3),"0.0%")</f>
        <v>0.0%</v>
      </c>
      <c r="AH94" s="384">
        <f>ROUND(SUM(AH63:AH93),0)</f>
        <v>0</v>
      </c>
      <c r="AI94" s="273" t="str">
        <f>IFERROR(ROUND((AH94-C94)/C94,3),"0.0%")</f>
        <v>0.0%</v>
      </c>
      <c r="AJ94" s="341" t="str">
        <f>IFERROR(ROUND(((AH94+AE94+AB94+Y94+M94)-(C94*9))/(C94*9),3),"0.0%")</f>
        <v>0.0%</v>
      </c>
      <c r="AK94" s="384">
        <f>ROUND(SUM(AK63:AK93),0)</f>
        <v>0</v>
      </c>
      <c r="AL94" s="273" t="str">
        <f>IFERROR(ROUND((AK94-(C94*3))/(C94*3),3),"0.0%")</f>
        <v>0.0%</v>
      </c>
      <c r="AM94" s="274" t="str">
        <f>IFERROR(ROUND(((AK94+Y94+M94)-(C94*9))/(C94*9),3),"0.0%")</f>
        <v>0.0%</v>
      </c>
      <c r="AN94" s="414">
        <f>ROUND(SUM(AN63:AN93),0)</f>
        <v>0</v>
      </c>
      <c r="AO94" s="273" t="str">
        <f>IFERROR(ROUND((AN94-C94)/C94,3),"0.0%")</f>
        <v>0.0%</v>
      </c>
      <c r="AP94" s="274" t="str">
        <f>IFERROR(ROUND(((AN94+AK94+Y94+M94)-(C94*10))/(C94*10),3),"0.0%")</f>
        <v>0.0%</v>
      </c>
      <c r="AQ94" s="384">
        <f>ROUND(SUM(AQ63:AQ93),0)</f>
        <v>0</v>
      </c>
      <c r="AR94" s="273" t="str">
        <f>IFERROR(ROUND((AQ94-C94)/C94,3),"0.0%")</f>
        <v>0.0%</v>
      </c>
      <c r="AS94" s="274" t="str">
        <f>IFERROR(ROUND(((AQ94+AN94+AK94+Y94+M94)-(C94*11))/(C94*11),3),"0.0%")</f>
        <v>0.0%</v>
      </c>
      <c r="AT94" s="384">
        <f>ROUND(SUM(AT63:AT93),0)</f>
        <v>0</v>
      </c>
      <c r="AU94" s="273" t="str">
        <f>IFERROR(ROUND((AT94-C94)/C94,3),"0.0%")</f>
        <v>0.0%</v>
      </c>
      <c r="AV94" s="274" t="str">
        <f>IFERROR(ROUND(((AT94+AQ94+AN94+AK94+Y94+M94)-(C94*12))/(C94*12),3),"0.0%")</f>
        <v>0.0%</v>
      </c>
      <c r="AW94" s="384">
        <f t="shared" si="188"/>
        <v>0</v>
      </c>
      <c r="AX94" s="273" t="str">
        <f>IFERROR(ROUND((AW94-(C94*3))/(C94*3),3),"0.0%")</f>
        <v>0.0%</v>
      </c>
      <c r="AY94" s="274" t="str">
        <f>IFERROR(ROUND(((AW94+AK94+Y94+M94)-(C94*12))/(C94*12),3),"0.0%")</f>
        <v>0.0%</v>
      </c>
      <c r="AZ94" s="384">
        <f t="shared" ref="AZ94:BB96" si="205">M94</f>
        <v>0</v>
      </c>
      <c r="BA94" s="258" t="str">
        <f t="shared" si="205"/>
        <v>0.0%</v>
      </c>
      <c r="BB94" s="306" t="str">
        <f t="shared" si="205"/>
        <v>0.0%</v>
      </c>
      <c r="BC94" s="384">
        <f t="shared" ref="BC94:BE96" si="206">Y94</f>
        <v>0</v>
      </c>
      <c r="BD94" s="258" t="str">
        <f t="shared" si="206"/>
        <v>0.0%</v>
      </c>
      <c r="BE94" s="259" t="str">
        <f t="shared" si="206"/>
        <v>0.0%</v>
      </c>
      <c r="BF94" s="384">
        <f t="shared" ref="BF94:BH96" si="207">AK94</f>
        <v>0</v>
      </c>
      <c r="BG94" s="258" t="str">
        <f t="shared" si="207"/>
        <v>0.0%</v>
      </c>
      <c r="BH94" s="259" t="str">
        <f t="shared" si="207"/>
        <v>0.0%</v>
      </c>
      <c r="BI94" s="384">
        <f t="shared" ref="BI94:BK96" si="208">AW94</f>
        <v>0</v>
      </c>
      <c r="BJ94" s="258" t="str">
        <f t="shared" si="208"/>
        <v>0.0%</v>
      </c>
      <c r="BK94" s="259" t="str">
        <f t="shared" si="208"/>
        <v>0.0%</v>
      </c>
      <c r="BL94" s="384">
        <f>ROUND(AZ94+BC94+BF94+BI94,0)</f>
        <v>0</v>
      </c>
      <c r="BM94" s="306" t="str">
        <f>IFERROR(ROUND((BL94-B94)/B94,3),"0.0%")</f>
        <v>0.0%</v>
      </c>
    </row>
    <row r="95" spans="1:65" s="234" customFormat="1" ht="12" x14ac:dyDescent="0.2">
      <c r="A95" s="242" t="s">
        <v>427</v>
      </c>
      <c r="B95" s="386"/>
      <c r="C95" s="387">
        <f t="shared" si="122"/>
        <v>0</v>
      </c>
      <c r="D95" s="386"/>
      <c r="E95" s="275" t="str">
        <f>IFERROR(ROUND((D95-C95)/C95,3),"0.0%")</f>
        <v>0.0%</v>
      </c>
      <c r="F95" s="276" t="str">
        <f>IFERROR(ROUND((D95-C95)/C95,3),"0.0%")</f>
        <v>0.0%</v>
      </c>
      <c r="G95" s="386"/>
      <c r="H95" s="275" t="str">
        <f>IFERROR(ROUND((G95-C95)/C95,3),"0.0%")</f>
        <v>0.0%</v>
      </c>
      <c r="I95" s="276" t="str">
        <f>IFERROR(ROUND(((G95+D95)-(C95*2))/(C95*2),3),"0.0%")</f>
        <v>0.0%</v>
      </c>
      <c r="J95" s="386"/>
      <c r="K95" s="275" t="str">
        <f>IFERROR(ROUND((J95-C95)/C95,3),"0.0%")</f>
        <v>0.0%</v>
      </c>
      <c r="L95" s="276" t="str">
        <f>IFERROR(ROUND(((J95+G95+D95)-(C95*3))/(C95*3),3),"0.0%")</f>
        <v>0.0%</v>
      </c>
      <c r="M95" s="392">
        <f t="shared" si="162"/>
        <v>0</v>
      </c>
      <c r="N95" s="275" t="str">
        <f>IFERROR(ROUND((M95-(C95*3))/(C95*3),3),"0.0%")</f>
        <v>0.0%</v>
      </c>
      <c r="O95" s="276" t="str">
        <f>IFERROR(ROUND(((M95)-(C95*3))/(C95*3),3),"0.0%")</f>
        <v>0.0%</v>
      </c>
      <c r="P95" s="386"/>
      <c r="Q95" s="275" t="str">
        <f>IFERROR(ROUND((P95-C95)/C95,3),"0.0%")</f>
        <v>0.0%</v>
      </c>
      <c r="R95" s="276" t="str">
        <f>IFERROR(ROUND(((P95+M95)-(C95*4))/(C95*4),3),"0.0%")</f>
        <v>0.0%</v>
      </c>
      <c r="S95" s="386"/>
      <c r="T95" s="275" t="str">
        <f>IFERROR(ROUND((S95-C95)/C95,3),"0.0%")</f>
        <v>0.0%</v>
      </c>
      <c r="U95" s="276" t="str">
        <f>IFERROR(ROUND(((S95+P95+M95)-(C95*5))/(C95*5),3),"0.0%")</f>
        <v>0.0%</v>
      </c>
      <c r="V95" s="386"/>
      <c r="W95" s="275" t="str">
        <f>IFERROR(ROUND((V95-C95)/C95,3),"0.0%")</f>
        <v>0.0%</v>
      </c>
      <c r="X95" s="276" t="str">
        <f>IFERROR(ROUND(((V95+S95+P95+M95)-(C95*6))/(C95*6),3),"0.0%")</f>
        <v>0.0%</v>
      </c>
      <c r="Y95" s="392">
        <f>ROUND(V95+S95+P95,0)</f>
        <v>0</v>
      </c>
      <c r="Z95" s="275" t="str">
        <f>IFERROR(ROUND((Y95-(C95*3))/(C95*3),3),"0.0%")</f>
        <v>0.0%</v>
      </c>
      <c r="AA95" s="276" t="str">
        <f>IFERROR(ROUND(((Y95+M95)-(C95*6))/(C95*6),3),"0.0%")</f>
        <v>0.0%</v>
      </c>
      <c r="AB95" s="386"/>
      <c r="AC95" s="275" t="str">
        <f>IFERROR(ROUND((AB95-C95)/C95,3),"0.0%")</f>
        <v>0.0%</v>
      </c>
      <c r="AD95" s="276" t="str">
        <f>IFERROR(ROUND(((AB95+Y95+M95)-(C95*7))/(C95*7),3),"0.0%")</f>
        <v>0.0%</v>
      </c>
      <c r="AE95" s="386"/>
      <c r="AF95" s="275" t="str">
        <f>IFERROR(ROUND((AE95-C95)/C95,3),"0.0%")</f>
        <v>0.0%</v>
      </c>
      <c r="AG95" s="276" t="str">
        <f>IFERROR(ROUND(((AE95+AB95+Y95+M95)-(C95*8))/(C95*8),3),"0.0%")</f>
        <v>0.0%</v>
      </c>
      <c r="AH95" s="386"/>
      <c r="AI95" s="275" t="str">
        <f>IFERROR(ROUND((AH95-C95)/C95,3),"0.0%")</f>
        <v>0.0%</v>
      </c>
      <c r="AJ95" s="361" t="str">
        <f>IFERROR(ROUND(((AH95+AE95+AB95+Y95+M95)-(C95*9))/(C95*9),3),"0.0%")</f>
        <v>0.0%</v>
      </c>
      <c r="AK95" s="391">
        <f>ROUND(SUM(AK64:AK93),0)</f>
        <v>0</v>
      </c>
      <c r="AL95" s="275" t="str">
        <f>IFERROR(ROUND((AK95-(C95*3))/(C95*3),3),"0.0%")</f>
        <v>0.0%</v>
      </c>
      <c r="AM95" s="276" t="str">
        <f>IFERROR(ROUND(((AK95+Y95+M95)-(C95*9))/(C95*9),3),"0.0%")</f>
        <v>0.0%</v>
      </c>
      <c r="AN95" s="390"/>
      <c r="AO95" s="275" t="str">
        <f>IFERROR(ROUND((AN95-C95)/C95,3),"0.0%")</f>
        <v>0.0%</v>
      </c>
      <c r="AP95" s="276" t="str">
        <f>IFERROR(ROUND(((AN95+AK95+Y95+M95)-(C95*10))/(C95*10),3),"0.0%")</f>
        <v>0.0%</v>
      </c>
      <c r="AQ95" s="386"/>
      <c r="AR95" s="275" t="str">
        <f>IFERROR(ROUND((AQ95-C95)/C95,3),"0.0%")</f>
        <v>0.0%</v>
      </c>
      <c r="AS95" s="276" t="str">
        <f>IFERROR(ROUND(((AQ95+AN95+AK95+Y95+M95)-(C95*11))/(C95*11),3),"0.0%")</f>
        <v>0.0%</v>
      </c>
      <c r="AT95" s="386"/>
      <c r="AU95" s="275" t="str">
        <f>IFERROR(ROUND((AT95-C95)/C95,3),"0.0%")</f>
        <v>0.0%</v>
      </c>
      <c r="AV95" s="276" t="str">
        <f>IFERROR(ROUND(((AT95+AQ95+AN95+AK95+Y95+M95)-(C95*12))/(C95*12),3),"0.0%")</f>
        <v>0.0%</v>
      </c>
      <c r="AW95" s="392">
        <f>ROUND(AT95+AQ95+AN95,0)</f>
        <v>0</v>
      </c>
      <c r="AX95" s="275" t="str">
        <f>IFERROR(ROUND((AW95-(C95*3))/(C95*3),3),"0.0%")</f>
        <v>0.0%</v>
      </c>
      <c r="AY95" s="276" t="str">
        <f>IFERROR(ROUND(((AW95+AK95+Y95+M95)-(C95*12))/(C95*12),3),"0.0%")</f>
        <v>0.0%</v>
      </c>
      <c r="AZ95" s="391">
        <f t="shared" si="205"/>
        <v>0</v>
      </c>
      <c r="BA95" s="260" t="str">
        <f t="shared" si="205"/>
        <v>0.0%</v>
      </c>
      <c r="BB95" s="307" t="str">
        <f t="shared" si="205"/>
        <v>0.0%</v>
      </c>
      <c r="BC95" s="391">
        <f t="shared" si="206"/>
        <v>0</v>
      </c>
      <c r="BD95" s="260" t="str">
        <f t="shared" si="206"/>
        <v>0.0%</v>
      </c>
      <c r="BE95" s="261" t="str">
        <f t="shared" si="206"/>
        <v>0.0%</v>
      </c>
      <c r="BF95" s="391">
        <f t="shared" si="207"/>
        <v>0</v>
      </c>
      <c r="BG95" s="260" t="str">
        <f t="shared" si="207"/>
        <v>0.0%</v>
      </c>
      <c r="BH95" s="261" t="str">
        <f t="shared" si="207"/>
        <v>0.0%</v>
      </c>
      <c r="BI95" s="391">
        <f t="shared" si="208"/>
        <v>0</v>
      </c>
      <c r="BJ95" s="260" t="str">
        <f t="shared" si="208"/>
        <v>0.0%</v>
      </c>
      <c r="BK95" s="261" t="str">
        <f t="shared" si="208"/>
        <v>0.0%</v>
      </c>
      <c r="BL95" s="391">
        <f>ROUND(AZ95+BC95+BF95+BI95,0)</f>
        <v>0</v>
      </c>
      <c r="BM95" s="307" t="str">
        <f>IFERROR(ROUND((BL95-B95)/B95,3),"0.0%")</f>
        <v>0.0%</v>
      </c>
    </row>
    <row r="96" spans="1:65" s="234" customFormat="1" ht="22.9" customHeight="1" x14ac:dyDescent="0.2">
      <c r="A96" s="242" t="s">
        <v>428</v>
      </c>
      <c r="B96" s="391">
        <f>ROUND(B94-B95,0)</f>
        <v>0</v>
      </c>
      <c r="C96" s="387">
        <f t="shared" si="122"/>
        <v>0</v>
      </c>
      <c r="D96" s="391">
        <f>ROUND(D94-D95,0)</f>
        <v>0</v>
      </c>
      <c r="E96" s="275" t="str">
        <f>IFERROR(ROUND((D96-C96)/C96,3),"0.0%")</f>
        <v>0.0%</v>
      </c>
      <c r="F96" s="277" t="str">
        <f>IFERROR(ROUND((D96-C96)/C96,3),"0.0%")</f>
        <v>0.0%</v>
      </c>
      <c r="G96" s="391">
        <f>ROUND(G94-G95,0)</f>
        <v>0</v>
      </c>
      <c r="H96" s="275" t="str">
        <f>IFERROR(ROUND((G96-C96)/C96,3),"0.0%")</f>
        <v>0.0%</v>
      </c>
      <c r="I96" s="277" t="str">
        <f>IFERROR(ROUND(((G96+D96)-(C96*2))/(C96*2),3),"0.0%")</f>
        <v>0.0%</v>
      </c>
      <c r="J96" s="391">
        <f>ROUND(J94-J95,0)</f>
        <v>0</v>
      </c>
      <c r="K96" s="275" t="str">
        <f>IFERROR(ROUND((J96-C96)/C96,3),"0.0%")</f>
        <v>0.0%</v>
      </c>
      <c r="L96" s="277" t="str">
        <f>IFERROR(ROUND(((J96+G96+D96)-(C96*3))/(C96*3),3),"0.0%")</f>
        <v>0.0%</v>
      </c>
      <c r="M96" s="391">
        <f t="shared" si="162"/>
        <v>0</v>
      </c>
      <c r="N96" s="275" t="str">
        <f>IFERROR(ROUND((M96-(C96*3))/(C96*3),3),"0.0%")</f>
        <v>0.0%</v>
      </c>
      <c r="O96" s="277" t="str">
        <f>IFERROR(ROUND(((M96)-(C96*3))/(C96*3),3),"0.0%")</f>
        <v>0.0%</v>
      </c>
      <c r="P96" s="391">
        <f>ROUND(P94-P95,0)</f>
        <v>0</v>
      </c>
      <c r="Q96" s="275" t="str">
        <f>IFERROR(ROUND((P96-C96)/C96,3),"0.0%")</f>
        <v>0.0%</v>
      </c>
      <c r="R96" s="277" t="str">
        <f>IFERROR(ROUND(((P96+M96)-(C96*4))/(C96*4),3),"0.0%")</f>
        <v>0.0%</v>
      </c>
      <c r="S96" s="391">
        <f>ROUND(S94-S95,0)</f>
        <v>0</v>
      </c>
      <c r="T96" s="275" t="str">
        <f>IFERROR(ROUND((S96-C96)/C96,3),"0.0%")</f>
        <v>0.0%</v>
      </c>
      <c r="U96" s="277" t="str">
        <f>IFERROR(ROUND(((S96+P96+M96)-(C96*5))/(C96*5),3),"0.0%")</f>
        <v>0.0%</v>
      </c>
      <c r="V96" s="391">
        <f>ROUND(V94-V95,0)</f>
        <v>0</v>
      </c>
      <c r="W96" s="275" t="str">
        <f>IFERROR(ROUND((V96-C96)/C96,3),"0.0%")</f>
        <v>0.0%</v>
      </c>
      <c r="X96" s="277" t="str">
        <f>IFERROR(ROUND(((V96+S96+P96+M96)-(C96*6))/(C96*6),3),"0.0%")</f>
        <v>0.0%</v>
      </c>
      <c r="Y96" s="391">
        <f>ROUND(V96+S96+P96,0)</f>
        <v>0</v>
      </c>
      <c r="Z96" s="275" t="str">
        <f>IFERROR(ROUND((Y96-(C96*3))/(C96*3),3),"0.0%")</f>
        <v>0.0%</v>
      </c>
      <c r="AA96" s="277" t="str">
        <f>IFERROR(ROUND(((Y96+M96)-(C96*6))/(C96*6),3),"0.0%")</f>
        <v>0.0%</v>
      </c>
      <c r="AB96" s="391">
        <f>ROUND(AB94-AB95,0)</f>
        <v>0</v>
      </c>
      <c r="AC96" s="275" t="str">
        <f>IFERROR(ROUND((AB96-C96)/C96,3),"0.0%")</f>
        <v>0.0%</v>
      </c>
      <c r="AD96" s="277" t="str">
        <f>IFERROR(ROUND(((AB96+Y96+M96)-(C96*7))/(C96*7),3),"0.0%")</f>
        <v>0.0%</v>
      </c>
      <c r="AE96" s="391">
        <f>ROUND(AE94-AE95,0)</f>
        <v>0</v>
      </c>
      <c r="AF96" s="275" t="str">
        <f>IFERROR(ROUND((AE96-C96)/C96,3),"0.0%")</f>
        <v>0.0%</v>
      </c>
      <c r="AG96" s="277" t="str">
        <f>IFERROR(ROUND(((AE96+AB96+Y96+M96)-(C96*8))/(C96*8),3),"0.0%")</f>
        <v>0.0%</v>
      </c>
      <c r="AH96" s="391">
        <f>ROUND(AH94-AH95,0)</f>
        <v>0</v>
      </c>
      <c r="AI96" s="275" t="str">
        <f>IFERROR(ROUND((AH96-C96)/C96,3),"0.0%")</f>
        <v>0.0%</v>
      </c>
      <c r="AJ96" s="362" t="str">
        <f>IFERROR(ROUND(((AH96+AE96+AB96+Y96+M96)-(C96*9))/(C96*9),3),"0.0%")</f>
        <v>0.0%</v>
      </c>
      <c r="AK96" s="391">
        <f>ROUND(AK94-AK95,0)</f>
        <v>0</v>
      </c>
      <c r="AL96" s="275" t="str">
        <f>IFERROR(ROUND((AK96-(C96*3))/(C96*3),3),"0.0%")</f>
        <v>0.0%</v>
      </c>
      <c r="AM96" s="277" t="str">
        <f>IFERROR(ROUND(((AK96+Y96+M96)-(C96*9))/(C96*9),3),"0.0%")</f>
        <v>0.0%</v>
      </c>
      <c r="AN96" s="415">
        <f>ROUND(AN94-AN95,0)</f>
        <v>0</v>
      </c>
      <c r="AO96" s="275" t="str">
        <f>IFERROR(ROUND((AN96-C96)/C96,3),"0.0%")</f>
        <v>0.0%</v>
      </c>
      <c r="AP96" s="277" t="str">
        <f>IFERROR(ROUND(((AN96+AK96+Y96+M96)-(C96*10))/(C96*10),3),"0.0%")</f>
        <v>0.0%</v>
      </c>
      <c r="AQ96" s="391">
        <f>ROUND(AQ94-AQ95,0)</f>
        <v>0</v>
      </c>
      <c r="AR96" s="275" t="str">
        <f>IFERROR(ROUND((AQ96-C96)/C96,3),"0.0%")</f>
        <v>0.0%</v>
      </c>
      <c r="AS96" s="277" t="str">
        <f>IFERROR(ROUND(((AQ96+AN96+AK96+Y96+M96)-(C96*11))/(C96*11),3),"0.0%")</f>
        <v>0.0%</v>
      </c>
      <c r="AT96" s="391">
        <f>ROUND(AT94-AT95,0)</f>
        <v>0</v>
      </c>
      <c r="AU96" s="275" t="str">
        <f>IFERROR(ROUND((AT96-C96)/C96,3),"0.0%")</f>
        <v>0.0%</v>
      </c>
      <c r="AV96" s="277" t="str">
        <f>IFERROR(ROUND(((AT96+AQ96+AN96+AK96+Y96+M96)-(C96*12))/(C96*12),3),"0.0%")</f>
        <v>0.0%</v>
      </c>
      <c r="AW96" s="391">
        <f t="shared" si="188"/>
        <v>0</v>
      </c>
      <c r="AX96" s="275" t="str">
        <f>IFERROR(ROUND((AW96-(C96*3))/(C96*3),3),"0.0%")</f>
        <v>0.0%</v>
      </c>
      <c r="AY96" s="277" t="str">
        <f>IFERROR(ROUND(((AW96+AK96+Y96+M96)-(C96*12))/(C96*12),3),"0.0%")</f>
        <v>0.0%</v>
      </c>
      <c r="AZ96" s="391">
        <f t="shared" si="205"/>
        <v>0</v>
      </c>
      <c r="BA96" s="260" t="str">
        <f t="shared" si="205"/>
        <v>0.0%</v>
      </c>
      <c r="BB96" s="307" t="str">
        <f t="shared" si="205"/>
        <v>0.0%</v>
      </c>
      <c r="BC96" s="391">
        <f t="shared" si="206"/>
        <v>0</v>
      </c>
      <c r="BD96" s="260" t="str">
        <f t="shared" si="206"/>
        <v>0.0%</v>
      </c>
      <c r="BE96" s="261" t="str">
        <f t="shared" si="206"/>
        <v>0.0%</v>
      </c>
      <c r="BF96" s="391">
        <f t="shared" si="207"/>
        <v>0</v>
      </c>
      <c r="BG96" s="260" t="str">
        <f t="shared" si="207"/>
        <v>0.0%</v>
      </c>
      <c r="BH96" s="261" t="str">
        <f t="shared" si="207"/>
        <v>0.0%</v>
      </c>
      <c r="BI96" s="391">
        <f t="shared" si="208"/>
        <v>0</v>
      </c>
      <c r="BJ96" s="260" t="str">
        <f t="shared" si="208"/>
        <v>0.0%</v>
      </c>
      <c r="BK96" s="261" t="str">
        <f t="shared" si="208"/>
        <v>0.0%</v>
      </c>
      <c r="BL96" s="391">
        <f>ROUND(AZ96+BC96+BF96+BI96,0)</f>
        <v>0</v>
      </c>
      <c r="BM96" s="307" t="str">
        <f>IFERROR(ROUND((BL96-B96)/B96,3),"0.0%")</f>
        <v>0.0%</v>
      </c>
    </row>
    <row r="97" spans="1:67" s="234" customFormat="1" thickBot="1" x14ac:dyDescent="0.25">
      <c r="A97" s="335"/>
      <c r="B97" s="416"/>
      <c r="C97" s="417"/>
      <c r="D97" s="407"/>
      <c r="E97" s="278"/>
      <c r="F97" s="279"/>
      <c r="G97" s="407"/>
      <c r="H97" s="278"/>
      <c r="I97" s="279"/>
      <c r="J97" s="407"/>
      <c r="K97" s="278"/>
      <c r="L97" s="279"/>
      <c r="M97" s="407"/>
      <c r="N97" s="278"/>
      <c r="O97" s="279"/>
      <c r="P97" s="407"/>
      <c r="Q97" s="278"/>
      <c r="R97" s="279"/>
      <c r="S97" s="407"/>
      <c r="T97" s="278"/>
      <c r="U97" s="279"/>
      <c r="V97" s="418"/>
      <c r="W97" s="311"/>
      <c r="X97" s="312"/>
      <c r="Y97" s="418"/>
      <c r="Z97" s="311"/>
      <c r="AA97" s="312"/>
      <c r="AB97" s="418"/>
      <c r="AC97" s="311"/>
      <c r="AD97" s="312"/>
      <c r="AE97" s="418"/>
      <c r="AF97" s="311"/>
      <c r="AG97" s="312"/>
      <c r="AH97" s="418"/>
      <c r="AI97" s="311"/>
      <c r="AJ97" s="363"/>
      <c r="AK97" s="418"/>
      <c r="AL97" s="311"/>
      <c r="AM97" s="312"/>
      <c r="AN97" s="419"/>
      <c r="AO97" s="311"/>
      <c r="AP97" s="312"/>
      <c r="AQ97" s="418"/>
      <c r="AR97" s="311"/>
      <c r="AS97" s="312"/>
      <c r="AT97" s="418"/>
      <c r="AU97" s="311"/>
      <c r="AV97" s="312"/>
      <c r="AW97" s="418"/>
      <c r="AX97" s="311"/>
      <c r="AY97" s="312"/>
      <c r="AZ97" s="418"/>
      <c r="BA97" s="311"/>
      <c r="BB97" s="312"/>
      <c r="BC97" s="418"/>
      <c r="BD97" s="311"/>
      <c r="BE97" s="312"/>
      <c r="BF97" s="418"/>
      <c r="BG97" s="311"/>
      <c r="BH97" s="312"/>
      <c r="BI97" s="418"/>
      <c r="BJ97" s="311"/>
      <c r="BK97" s="312"/>
      <c r="BL97" s="420"/>
      <c r="BM97" s="312"/>
    </row>
    <row r="98" spans="1:67" s="233" customFormat="1" ht="13.5" thickTop="1" thickBot="1" x14ac:dyDescent="0.25">
      <c r="A98" s="240"/>
      <c r="B98" s="297"/>
      <c r="C98" s="297"/>
      <c r="D98" s="297"/>
      <c r="E98" s="272"/>
      <c r="F98" s="272"/>
      <c r="G98" s="297"/>
      <c r="H98" s="297"/>
      <c r="I98" s="297"/>
      <c r="J98" s="295"/>
      <c r="K98" s="295"/>
      <c r="L98" s="295"/>
      <c r="M98" s="295"/>
      <c r="N98" s="295"/>
      <c r="O98" s="295"/>
      <c r="P98" s="297"/>
      <c r="Q98" s="297"/>
      <c r="R98" s="297"/>
      <c r="S98" s="297"/>
      <c r="T98" s="297"/>
      <c r="U98" s="297"/>
      <c r="V98" s="295"/>
      <c r="W98" s="295"/>
      <c r="X98" s="295"/>
      <c r="Y98" s="295"/>
      <c r="Z98" s="295"/>
      <c r="AA98" s="295"/>
      <c r="AB98" s="297"/>
      <c r="AC98" s="297"/>
      <c r="AD98" s="297"/>
      <c r="AE98" s="297"/>
      <c r="AF98" s="297"/>
      <c r="AG98" s="297"/>
      <c r="AH98" s="295"/>
      <c r="AI98" s="295"/>
      <c r="AJ98" s="295"/>
      <c r="AK98" s="295"/>
      <c r="AL98" s="295"/>
      <c r="AM98" s="295"/>
      <c r="AN98" s="297"/>
      <c r="AO98" s="297"/>
      <c r="AP98" s="297"/>
      <c r="AQ98" s="297"/>
      <c r="AR98" s="297"/>
      <c r="AS98" s="297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95"/>
      <c r="BG98" s="295"/>
      <c r="BH98" s="295"/>
      <c r="BI98" s="295"/>
      <c r="BJ98" s="295"/>
      <c r="BK98" s="295"/>
      <c r="BL98" s="295"/>
      <c r="BM98" s="295"/>
    </row>
    <row r="99" spans="1:67" s="233" customFormat="1" ht="16.5" customHeight="1" thickBot="1" x14ac:dyDescent="0.25">
      <c r="A99" s="507" t="s">
        <v>430</v>
      </c>
      <c r="B99" s="508"/>
      <c r="C99" s="509"/>
      <c r="D99" s="379"/>
      <c r="E99" s="280"/>
      <c r="F99" s="281"/>
      <c r="G99" s="375"/>
      <c r="H99" s="298"/>
      <c r="I99" s="299"/>
      <c r="J99" s="375"/>
      <c r="K99" s="298"/>
      <c r="L99" s="299"/>
      <c r="M99" s="375"/>
      <c r="N99" s="298"/>
      <c r="O99" s="299"/>
      <c r="P99" s="375"/>
      <c r="Q99" s="298"/>
      <c r="R99" s="298"/>
      <c r="S99" s="375"/>
      <c r="T99" s="298"/>
      <c r="U99" s="299"/>
      <c r="V99" s="380"/>
      <c r="W99" s="298"/>
      <c r="X99" s="298"/>
      <c r="Y99" s="375"/>
      <c r="Z99" s="298"/>
      <c r="AA99" s="299"/>
      <c r="AB99" s="375"/>
      <c r="AC99" s="298"/>
      <c r="AD99" s="299"/>
      <c r="AE99" s="375"/>
      <c r="AF99" s="298"/>
      <c r="AG99" s="299"/>
      <c r="AH99" s="375"/>
      <c r="AI99" s="298"/>
      <c r="AJ99" s="299"/>
      <c r="AK99" s="375"/>
      <c r="AL99" s="298"/>
      <c r="AM99" s="299"/>
      <c r="AN99" s="375"/>
      <c r="AO99" s="298"/>
      <c r="AP99" s="299"/>
      <c r="AQ99" s="375"/>
      <c r="AR99" s="298"/>
      <c r="AS99" s="299"/>
      <c r="AT99" s="375"/>
      <c r="AU99" s="298"/>
      <c r="AV99" s="299"/>
      <c r="AW99" s="375"/>
      <c r="AX99" s="298"/>
      <c r="AY99" s="299"/>
      <c r="AZ99" s="375"/>
      <c r="BA99" s="298"/>
      <c r="BB99" s="298"/>
      <c r="BC99" s="375"/>
      <c r="BD99" s="298"/>
      <c r="BE99" s="298"/>
      <c r="BF99" s="375"/>
      <c r="BG99" s="298"/>
      <c r="BH99" s="298"/>
      <c r="BI99" s="375"/>
      <c r="BJ99" s="298"/>
      <c r="BK99" s="298"/>
      <c r="BL99" s="375"/>
      <c r="BM99" s="299"/>
    </row>
    <row r="100" spans="1:67" s="233" customFormat="1" ht="12" x14ac:dyDescent="0.2">
      <c r="A100" s="331"/>
      <c r="B100" s="421"/>
      <c r="C100" s="422"/>
      <c r="D100" s="421"/>
      <c r="E100" s="332"/>
      <c r="F100" s="333"/>
      <c r="G100" s="423"/>
      <c r="H100" s="259"/>
      <c r="I100" s="306"/>
      <c r="J100" s="421"/>
      <c r="K100" s="332"/>
      <c r="L100" s="333"/>
      <c r="M100" s="421"/>
      <c r="N100" s="332"/>
      <c r="O100" s="333"/>
      <c r="P100" s="421"/>
      <c r="Q100" s="332"/>
      <c r="R100" s="333"/>
      <c r="S100" s="421"/>
      <c r="T100" s="332"/>
      <c r="U100" s="333"/>
      <c r="V100" s="421"/>
      <c r="W100" s="332"/>
      <c r="X100" s="333"/>
      <c r="Y100" s="421"/>
      <c r="Z100" s="332"/>
      <c r="AA100" s="333"/>
      <c r="AB100" s="421"/>
      <c r="AC100" s="332"/>
      <c r="AD100" s="333"/>
      <c r="AE100" s="421"/>
      <c r="AF100" s="332"/>
      <c r="AG100" s="333"/>
      <c r="AH100" s="421"/>
      <c r="AI100" s="332"/>
      <c r="AJ100" s="333"/>
      <c r="AK100" s="421"/>
      <c r="AL100" s="332"/>
      <c r="AM100" s="333"/>
      <c r="AN100" s="421"/>
      <c r="AO100" s="332"/>
      <c r="AP100" s="333"/>
      <c r="AQ100" s="421"/>
      <c r="AR100" s="332"/>
      <c r="AS100" s="333"/>
      <c r="AT100" s="421"/>
      <c r="AU100" s="332"/>
      <c r="AV100" s="333"/>
      <c r="AW100" s="421"/>
      <c r="AX100" s="332"/>
      <c r="AY100" s="333"/>
      <c r="AZ100" s="421"/>
      <c r="BA100" s="332"/>
      <c r="BB100" s="333"/>
      <c r="BC100" s="421"/>
      <c r="BD100" s="332"/>
      <c r="BE100" s="333"/>
      <c r="BF100" s="421"/>
      <c r="BG100" s="332"/>
      <c r="BH100" s="333"/>
      <c r="BI100" s="421"/>
      <c r="BJ100" s="332"/>
      <c r="BK100" s="332"/>
      <c r="BL100" s="424"/>
      <c r="BM100" s="334"/>
      <c r="BN100" s="234"/>
      <c r="BO100" s="234"/>
    </row>
    <row r="101" spans="1:67" s="233" customFormat="1" ht="12" x14ac:dyDescent="0.2">
      <c r="A101" s="242" t="s">
        <v>275</v>
      </c>
      <c r="B101" s="425">
        <f>ROUND((B68+B69)-B95,0)</f>
        <v>0</v>
      </c>
      <c r="C101" s="426">
        <f>ROUND(B101/12,0)</f>
        <v>0</v>
      </c>
      <c r="D101" s="427">
        <f>ROUND((D68+D69)-D95,0)</f>
        <v>0</v>
      </c>
      <c r="E101" s="260" t="str">
        <f>IFERROR(ROUND((D101-C101)/C101,3),"0.0%")</f>
        <v>0.0%</v>
      </c>
      <c r="F101" s="307" t="str">
        <f>IFERROR(ROUND((D101-C101)/C101,3),"0.0%")</f>
        <v>0.0%</v>
      </c>
      <c r="G101" s="427">
        <f>ROUND((G68+G69)-G95,0)</f>
        <v>0</v>
      </c>
      <c r="H101" s="260" t="str">
        <f>IFERROR(ROUND((G101-C101)/C101,3),"0.0%")</f>
        <v>0.0%</v>
      </c>
      <c r="I101" s="307" t="str">
        <f>IFERROR(ROUND(((G101+D101)-(C101*2))/(C101*2),3),"0.0%")</f>
        <v>0.0%</v>
      </c>
      <c r="J101" s="427">
        <f>ROUND((J68+J69)-J95,0)</f>
        <v>0</v>
      </c>
      <c r="K101" s="260" t="str">
        <f>IFERROR(ROUND((J101-C101)/C101,3),"0.0%")</f>
        <v>0.0%</v>
      </c>
      <c r="L101" s="307" t="str">
        <f>IFERROR(ROUND(((J101+G101+D101)-(C101*3))/(C101*3),3),"0.0%")</f>
        <v>0.0%</v>
      </c>
      <c r="M101" s="427">
        <f>ROUND((M68+M69)-M95,0)</f>
        <v>0</v>
      </c>
      <c r="N101" s="260" t="str">
        <f>IFERROR(ROUND((M101-(C101*3))/(C101*3),3),"0.0%")</f>
        <v>0.0%</v>
      </c>
      <c r="O101" s="307" t="str">
        <f>IFERROR(ROUND(((M101)-(C101*3))/(C101*3),3),"0.0%")</f>
        <v>0.0%</v>
      </c>
      <c r="P101" s="427">
        <f>ROUND((P68+P69)-P95,0)</f>
        <v>0</v>
      </c>
      <c r="Q101" s="260" t="str">
        <f>IFERROR(ROUND((P101-C101)/C101,3),"0.0%")</f>
        <v>0.0%</v>
      </c>
      <c r="R101" s="307" t="str">
        <f>IFERROR(ROUND(((P101+M101)-(C101*4))/(C101*4),3),"0.0%")</f>
        <v>0.0%</v>
      </c>
      <c r="S101" s="427">
        <f>ROUND((S68+S69)-S95,0)</f>
        <v>0</v>
      </c>
      <c r="T101" s="260" t="str">
        <f>IFERROR(ROUND((S101-C101)/C101,3),"0.0%")</f>
        <v>0.0%</v>
      </c>
      <c r="U101" s="307" t="str">
        <f>IFERROR(ROUND(((S101+P101+M101)-(C101*5))/(C101*5),3),"0.0%")</f>
        <v>0.0%</v>
      </c>
      <c r="V101" s="427">
        <f>ROUND((V68+V69)-V95,0)</f>
        <v>0</v>
      </c>
      <c r="W101" s="260" t="str">
        <f>IFERROR(ROUND((V101-C101)/C101,3),"0.0%")</f>
        <v>0.0%</v>
      </c>
      <c r="X101" s="307" t="str">
        <f>IFERROR(ROUND(((V101+S101+P101+M101)-(C101*6))/(C101*6),3),"0.0%")</f>
        <v>0.0%</v>
      </c>
      <c r="Y101" s="427">
        <f>ROUND((Y68+Y69)-Y95,0)</f>
        <v>0</v>
      </c>
      <c r="Z101" s="260" t="str">
        <f>IFERROR(ROUND((Y101-(C101*3))/(C101*3),3),"0.0%")</f>
        <v>0.0%</v>
      </c>
      <c r="AA101" s="307" t="str">
        <f>IFERROR(ROUND(((Y101+M101)-(C101*6))/(C101*6),3),"0.0%")</f>
        <v>0.0%</v>
      </c>
      <c r="AB101" s="427">
        <f>ROUND((AB68+AB69)-AB95,0)</f>
        <v>0</v>
      </c>
      <c r="AC101" s="260" t="str">
        <f>IFERROR(ROUND((AB101-C101)/C101,3),"0.0%")</f>
        <v>0.0%</v>
      </c>
      <c r="AD101" s="307" t="str">
        <f>IFERROR(ROUND(((AB101+Y101+M101)-(C101*7))/(C101*7),3),"0.0%")</f>
        <v>0.0%</v>
      </c>
      <c r="AE101" s="427">
        <f>ROUND((AE68+AE69)-AE95,0)</f>
        <v>0</v>
      </c>
      <c r="AF101" s="260" t="str">
        <f>IFERROR(ROUND((AE101-C101)/C101,3),"0.0%")</f>
        <v>0.0%</v>
      </c>
      <c r="AG101" s="307" t="str">
        <f>IFERROR(ROUND(((AE101+AB101+Y101+M101)-(C101*8))/(C101*8),3),"0.0%")</f>
        <v>0.0%</v>
      </c>
      <c r="AH101" s="427">
        <f>ROUND((AH68+AH69)-AH95,0)</f>
        <v>0</v>
      </c>
      <c r="AI101" s="260" t="str">
        <f>IFERROR(ROUND((AH101-C101)/C101,3),"0.0%")</f>
        <v>0.0%</v>
      </c>
      <c r="AJ101" s="307" t="str">
        <f>IFERROR(ROUND(((AH101+AE101+AB101+Y101+M101)-(C101*9))/(C101*9),3),"0.0%")</f>
        <v>0.0%</v>
      </c>
      <c r="AK101" s="427">
        <f>ROUND((AK68+AK69)-AK95,0)</f>
        <v>0</v>
      </c>
      <c r="AL101" s="260" t="str">
        <f>IFERROR(ROUND((AK101-(C101*3))/(C101*3),3),"0.0%")</f>
        <v>0.0%</v>
      </c>
      <c r="AM101" s="307" t="str">
        <f>IFERROR(ROUND(((AK101+Y101+M101)-(C101*9))/(C101*9),3),"0.0%")</f>
        <v>0.0%</v>
      </c>
      <c r="AN101" s="427">
        <f>ROUND((AN68+AN69)-AN95,0)</f>
        <v>0</v>
      </c>
      <c r="AO101" s="260" t="str">
        <f>IFERROR(ROUND((AN101-C101)/C101,3),"0.0%")</f>
        <v>0.0%</v>
      </c>
      <c r="AP101" s="307" t="str">
        <f>IFERROR(ROUND(((AN101+AK101+Y101+M101)-(C101*10))/(C101*10),3),"0.0%")</f>
        <v>0.0%</v>
      </c>
      <c r="AQ101" s="427">
        <f>ROUND((AQ68+AQ69)-AQ95,0)</f>
        <v>0</v>
      </c>
      <c r="AR101" s="260" t="str">
        <f>IFERROR(ROUND((AQ101-C101)/C101,3),"0.0%")</f>
        <v>0.0%</v>
      </c>
      <c r="AS101" s="307" t="str">
        <f>IFERROR(ROUND(((AQ101+AN101+AK101+Y101+M101)-(C101*11))/(C101*11),3),"0.0%")</f>
        <v>0.0%</v>
      </c>
      <c r="AT101" s="427">
        <f>ROUND((AT68+AT69)-AT95,0)</f>
        <v>0</v>
      </c>
      <c r="AU101" s="260" t="str">
        <f>IFERROR(ROUND((AT101-C101)/C101,3),"0.0%")</f>
        <v>0.0%</v>
      </c>
      <c r="AV101" s="307" t="str">
        <f>IFERROR(ROUND(((AT101+AQ101+AN101+AK101+Y101+M101)-(C101*12))/(C101*12),3),"0.0%")</f>
        <v>0.0%</v>
      </c>
      <c r="AW101" s="427">
        <f>ROUND((AW68+AW69)-AW95,0)</f>
        <v>0</v>
      </c>
      <c r="AX101" s="260" t="str">
        <f>IFERROR(ROUND((AW101-(C101*3))/(C101*3),3),"0.0%")</f>
        <v>0.0%</v>
      </c>
      <c r="AY101" s="307" t="str">
        <f>IFERROR(ROUND(((AW101+AK101+Y101+M101)-(C101*12))/(C101*12),3),"0.0%")</f>
        <v>0.0%</v>
      </c>
      <c r="AZ101" s="427">
        <f>ROUND((AZ68+AZ69)-AZ95,0)</f>
        <v>0</v>
      </c>
      <c r="BA101" s="260" t="str">
        <f>N101</f>
        <v>0.0%</v>
      </c>
      <c r="BB101" s="307" t="str">
        <f>O101</f>
        <v>0.0%</v>
      </c>
      <c r="BC101" s="427">
        <f>ROUND((BC68+BC69)-BC95,0)</f>
        <v>0</v>
      </c>
      <c r="BD101" s="260" t="str">
        <f>Z101</f>
        <v>0.0%</v>
      </c>
      <c r="BE101" s="307" t="str">
        <f>AA101</f>
        <v>0.0%</v>
      </c>
      <c r="BF101" s="427">
        <f>ROUND((BF68+BF69)-BF95,0)</f>
        <v>0</v>
      </c>
      <c r="BG101" s="260" t="str">
        <f t="shared" ref="BG101:BG107" si="209">AL101</f>
        <v>0.0%</v>
      </c>
      <c r="BH101" s="307" t="str">
        <f t="shared" ref="BH101:BH107" si="210">AM101</f>
        <v>0.0%</v>
      </c>
      <c r="BI101" s="427">
        <f>ROUND((BI68+BI69)-BI95,0)</f>
        <v>0</v>
      </c>
      <c r="BJ101" s="260" t="str">
        <f>AX101</f>
        <v>0.0%</v>
      </c>
      <c r="BK101" s="261" t="str">
        <f>AY101</f>
        <v>0.0%</v>
      </c>
      <c r="BL101" s="391">
        <f>ROUND((BL68+BL69)-BL95,0)</f>
        <v>0</v>
      </c>
      <c r="BM101" s="307" t="str">
        <f t="shared" ref="BM101:BM107" si="211">IFERROR(ROUND((BL101-B101)/B101,3),"0.0%")</f>
        <v>0.0%</v>
      </c>
      <c r="BN101" s="234"/>
      <c r="BO101" s="234"/>
    </row>
    <row r="102" spans="1:67" s="233" customFormat="1" ht="12" x14ac:dyDescent="0.2">
      <c r="A102" s="242" t="s">
        <v>387</v>
      </c>
      <c r="B102" s="406">
        <f>ROUND(SUM(B70:B93),0)</f>
        <v>0</v>
      </c>
      <c r="C102" s="426">
        <f>ROUND(B102/12,0)</f>
        <v>0</v>
      </c>
      <c r="D102" s="404">
        <f>ROUND(SUM(D70:D93),0)</f>
        <v>0</v>
      </c>
      <c r="E102" s="262" t="str">
        <f>IFERROR(ROUND((D102-C102)/C102,3),"0.0%")</f>
        <v>0.0%</v>
      </c>
      <c r="F102" s="313" t="str">
        <f>IFERROR(ROUND((D102-C102)/C102,3),"0.0%")</f>
        <v>0.0%</v>
      </c>
      <c r="G102" s="404">
        <f>ROUND(SUM(G70:G93),0)</f>
        <v>0</v>
      </c>
      <c r="H102" s="262" t="str">
        <f>IFERROR(ROUND((G102-C102)/C102,3),"0.0%")</f>
        <v>0.0%</v>
      </c>
      <c r="I102" s="313" t="str">
        <f>IFERROR(ROUND(((G102+D102)-(C102*2))/(C102*2),3),"0.0%")</f>
        <v>0.0%</v>
      </c>
      <c r="J102" s="404">
        <f>ROUND(SUM(J70:J93),0)</f>
        <v>0</v>
      </c>
      <c r="K102" s="262" t="str">
        <f t="shared" ref="K102:K107" si="212">IFERROR(ROUND((J102-C102)/C102,3),"0.0%")</f>
        <v>0.0%</v>
      </c>
      <c r="L102" s="313" t="str">
        <f t="shared" ref="L102:L107" si="213">IFERROR(ROUND(((J102+G102+D102)-(C102*3))/(C102*3),3),"0.0%")</f>
        <v>0.0%</v>
      </c>
      <c r="M102" s="404">
        <f>ROUND(SUM(M70:M93),0)</f>
        <v>0</v>
      </c>
      <c r="N102" s="262" t="str">
        <f t="shared" ref="N102:N107" si="214">IFERROR(ROUND((M102-(C102*3))/(C102*3),3),"0.0%")</f>
        <v>0.0%</v>
      </c>
      <c r="O102" s="313" t="str">
        <f t="shared" ref="O102:O107" si="215">IFERROR(ROUND(((M102)-(C102*3))/(C102*3),3),"0.0%")</f>
        <v>0.0%</v>
      </c>
      <c r="P102" s="404">
        <f>ROUND(SUM(P70:P93),0)</f>
        <v>0</v>
      </c>
      <c r="Q102" s="262" t="str">
        <f t="shared" ref="Q102:Q107" si="216">IFERROR(ROUND((P102-C102)/C102,3),"0.0%")</f>
        <v>0.0%</v>
      </c>
      <c r="R102" s="313" t="str">
        <f t="shared" ref="R102:R107" si="217">IFERROR(ROUND(((P102+M102)-(C102*4))/(C102*4),3),"0.0%")</f>
        <v>0.0%</v>
      </c>
      <c r="S102" s="404">
        <f>ROUND(SUM(S70:S93),0)</f>
        <v>0</v>
      </c>
      <c r="T102" s="262" t="str">
        <f t="shared" ref="T102:T107" si="218">IFERROR(ROUND((S102-C102)/C102,3),"0.0%")</f>
        <v>0.0%</v>
      </c>
      <c r="U102" s="313" t="str">
        <f t="shared" ref="U102:U107" si="219">IFERROR(ROUND(((S102+P102+M102)-(C102*5))/(C102*5),3),"0.0%")</f>
        <v>0.0%</v>
      </c>
      <c r="V102" s="404">
        <f>ROUND(SUM(V70:V93),0)</f>
        <v>0</v>
      </c>
      <c r="W102" s="262" t="str">
        <f t="shared" ref="W102:W107" si="220">IFERROR(ROUND((V102-C102)/C102,3),"0.0%")</f>
        <v>0.0%</v>
      </c>
      <c r="X102" s="313" t="str">
        <f t="shared" ref="X102:X107" si="221">IFERROR(ROUND(((V102+S102+P102+M102)-(C102*6))/(C102*6),3),"0.0%")</f>
        <v>0.0%</v>
      </c>
      <c r="Y102" s="404">
        <f>ROUND(SUM(Y70:Y93),0)</f>
        <v>0</v>
      </c>
      <c r="Z102" s="262" t="str">
        <f t="shared" ref="Z102:Z107" si="222">IFERROR(ROUND((Y102-(C102*3))/(C102*3),3),"0.0%")</f>
        <v>0.0%</v>
      </c>
      <c r="AA102" s="313" t="str">
        <f t="shared" ref="AA102:AA107" si="223">IFERROR(ROUND(((Y102+M102)-(C102*6))/(C102*6),3),"0.0%")</f>
        <v>0.0%</v>
      </c>
      <c r="AB102" s="404">
        <f>ROUND(SUM(AB70:AB93),0)</f>
        <v>0</v>
      </c>
      <c r="AC102" s="262" t="str">
        <f t="shared" ref="AC102:AC107" si="224">IFERROR(ROUND((AB102-C102)/C102,3),"0.0%")</f>
        <v>0.0%</v>
      </c>
      <c r="AD102" s="313" t="str">
        <f t="shared" ref="AD102:AD107" si="225">IFERROR(ROUND(((AB102+Y102+M102)-(C102*7))/(C102*7),3),"0.0%")</f>
        <v>0.0%</v>
      </c>
      <c r="AE102" s="404">
        <f>ROUND(SUM(AE70:AE93),0)</f>
        <v>0</v>
      </c>
      <c r="AF102" s="262" t="str">
        <f t="shared" ref="AF102:AF107" si="226">IFERROR(ROUND((AE102-C102)/C102,3),"0.0%")</f>
        <v>0.0%</v>
      </c>
      <c r="AG102" s="313" t="str">
        <f t="shared" ref="AG102:AG107" si="227">IFERROR(ROUND(((AE102+AB102+Y102+M102)-(C102*8))/(C102*8),3),"0.0%")</f>
        <v>0.0%</v>
      </c>
      <c r="AH102" s="404">
        <f>ROUND(SUM(AH70:AH93),0)</f>
        <v>0</v>
      </c>
      <c r="AI102" s="262" t="str">
        <f t="shared" ref="AI102:AI107" si="228">IFERROR(ROUND((AH102-C102)/C102,3),"0.0%")</f>
        <v>0.0%</v>
      </c>
      <c r="AJ102" s="313" t="str">
        <f t="shared" ref="AJ102:AJ107" si="229">IFERROR(ROUND(((AH102+AE102+AB102+Y102+M102)-(C102*9))/(C102*9),3),"0.0%")</f>
        <v>0.0%</v>
      </c>
      <c r="AK102" s="404">
        <f>ROUND(SUM(AK70:AK93),0)</f>
        <v>0</v>
      </c>
      <c r="AL102" s="262" t="str">
        <f t="shared" ref="AL102:AL107" si="230">IFERROR(ROUND((AK102-(C102*3))/(C102*3),3),"0.0%")</f>
        <v>0.0%</v>
      </c>
      <c r="AM102" s="313" t="str">
        <f t="shared" ref="AM102:AM107" si="231">IFERROR(ROUND(((AK102+Y102+M102)-(C102*9))/(C102*9),3),"0.0%")</f>
        <v>0.0%</v>
      </c>
      <c r="AN102" s="404">
        <f>ROUND(SUM(AN70:AN93),0)</f>
        <v>0</v>
      </c>
      <c r="AO102" s="262" t="str">
        <f t="shared" ref="AO102:AO107" si="232">IFERROR(ROUND((AN102-C102)/C102,3),"0.0%")</f>
        <v>0.0%</v>
      </c>
      <c r="AP102" s="313" t="str">
        <f t="shared" ref="AP102:AP107" si="233">IFERROR(ROUND(((AN102+AK102+Y102+M102)-(C102*10))/(C102*10),3),"0.0%")</f>
        <v>0.0%</v>
      </c>
      <c r="AQ102" s="404">
        <f>ROUND(SUM(AQ70:AQ93),0)</f>
        <v>0</v>
      </c>
      <c r="AR102" s="262" t="str">
        <f t="shared" ref="AR102:AR107" si="234">IFERROR(ROUND((AQ102-C102)/C102,3),"0.0%")</f>
        <v>0.0%</v>
      </c>
      <c r="AS102" s="313" t="str">
        <f t="shared" ref="AS102:AS107" si="235">IFERROR(ROUND(((AQ102+AN102+AK102+Y102+M102)-(C102*11))/(C102*11),3),"0.0%")</f>
        <v>0.0%</v>
      </c>
      <c r="AT102" s="404">
        <f>ROUND(SUM(AT70:AT93),0)</f>
        <v>0</v>
      </c>
      <c r="AU102" s="262" t="str">
        <f t="shared" ref="AU102:AU107" si="236">IFERROR(ROUND((AT102-C102)/C102,3),"0.0%")</f>
        <v>0.0%</v>
      </c>
      <c r="AV102" s="313" t="str">
        <f t="shared" ref="AV102:AV107" si="237">IFERROR(ROUND(((AT102+AQ102+AN102+AK102+Y102+M102)-(C102*12))/(C102*12),3),"0.0%")</f>
        <v>0.0%</v>
      </c>
      <c r="AW102" s="404">
        <f>ROUND(SUM(AW70:AW93),0)</f>
        <v>0</v>
      </c>
      <c r="AX102" s="262" t="str">
        <f t="shared" ref="AX102:AX107" si="238">IFERROR(ROUND((AW102-(C102*3))/(C102*3),3),"0.0%")</f>
        <v>0.0%</v>
      </c>
      <c r="AY102" s="313" t="str">
        <f t="shared" ref="AY102:AY107" si="239">IFERROR(ROUND(((AW102+AK102+Y102+M102)-(C102*12))/(C102*12),3),"0.0%")</f>
        <v>0.0%</v>
      </c>
      <c r="AZ102" s="404">
        <f>ROUND(SUM(AZ70:AZ93),0)</f>
        <v>0</v>
      </c>
      <c r="BA102" s="262" t="str">
        <f t="shared" ref="BA102:BA107" si="240">N102</f>
        <v>0.0%</v>
      </c>
      <c r="BB102" s="313" t="str">
        <f t="shared" ref="BB102:BB107" si="241">O102</f>
        <v>0.0%</v>
      </c>
      <c r="BC102" s="404">
        <f>ROUND(SUM(BC70:BC93),0)</f>
        <v>0</v>
      </c>
      <c r="BD102" s="262" t="str">
        <f t="shared" ref="BD102:BD107" si="242">Z102</f>
        <v>0.0%</v>
      </c>
      <c r="BE102" s="313" t="str">
        <f t="shared" ref="BE102:BE107" si="243">AA102</f>
        <v>0.0%</v>
      </c>
      <c r="BF102" s="404">
        <f>ROUND(SUM(BF70:BF93),0)</f>
        <v>0</v>
      </c>
      <c r="BG102" s="262" t="str">
        <f t="shared" si="209"/>
        <v>0.0%</v>
      </c>
      <c r="BH102" s="313" t="str">
        <f t="shared" si="210"/>
        <v>0.0%</v>
      </c>
      <c r="BI102" s="404">
        <f>ROUND(SUM(BI70:BI93),0)</f>
        <v>0</v>
      </c>
      <c r="BJ102" s="262" t="str">
        <f t="shared" ref="BJ102:BJ107" si="244">AX102</f>
        <v>0.0%</v>
      </c>
      <c r="BK102" s="263" t="str">
        <f t="shared" ref="BK102:BK107" si="245">AY102</f>
        <v>0.0%</v>
      </c>
      <c r="BL102" s="399">
        <f>ROUND(SUM(BL70:BL93),0)</f>
        <v>0</v>
      </c>
      <c r="BM102" s="313" t="str">
        <f t="shared" si="211"/>
        <v>0.0%</v>
      </c>
      <c r="BN102" s="234"/>
      <c r="BO102" s="234"/>
    </row>
    <row r="103" spans="1:67" s="233" customFormat="1" ht="12" x14ac:dyDescent="0.2">
      <c r="A103" s="245"/>
      <c r="B103" s="428"/>
      <c r="C103" s="429"/>
      <c r="D103" s="430"/>
      <c r="E103" s="262"/>
      <c r="F103" s="339"/>
      <c r="G103" s="430"/>
      <c r="H103" s="262"/>
      <c r="I103" s="339"/>
      <c r="J103" s="430"/>
      <c r="K103" s="262"/>
      <c r="L103" s="339"/>
      <c r="M103" s="430"/>
      <c r="N103" s="262"/>
      <c r="O103" s="339"/>
      <c r="P103" s="430"/>
      <c r="Q103" s="262"/>
      <c r="R103" s="339"/>
      <c r="S103" s="430"/>
      <c r="T103" s="262"/>
      <c r="U103" s="339"/>
      <c r="V103" s="430"/>
      <c r="W103" s="262"/>
      <c r="X103" s="339"/>
      <c r="Y103" s="430"/>
      <c r="Z103" s="262"/>
      <c r="AA103" s="339"/>
      <c r="AB103" s="430"/>
      <c r="AC103" s="262"/>
      <c r="AD103" s="339"/>
      <c r="AE103" s="430"/>
      <c r="AF103" s="262"/>
      <c r="AG103" s="339"/>
      <c r="AH103" s="430"/>
      <c r="AI103" s="262"/>
      <c r="AJ103" s="339"/>
      <c r="AK103" s="430"/>
      <c r="AL103" s="262"/>
      <c r="AM103" s="339"/>
      <c r="AN103" s="430"/>
      <c r="AO103" s="262"/>
      <c r="AP103" s="339"/>
      <c r="AQ103" s="430"/>
      <c r="AR103" s="262"/>
      <c r="AS103" s="339"/>
      <c r="AT103" s="430"/>
      <c r="AU103" s="262"/>
      <c r="AV103" s="339"/>
      <c r="AW103" s="430"/>
      <c r="AX103" s="262"/>
      <c r="AY103" s="339"/>
      <c r="AZ103" s="430"/>
      <c r="BA103" s="262"/>
      <c r="BB103" s="339"/>
      <c r="BC103" s="430"/>
      <c r="BD103" s="262"/>
      <c r="BE103" s="339"/>
      <c r="BF103" s="430"/>
      <c r="BG103" s="262"/>
      <c r="BH103" s="339"/>
      <c r="BI103" s="430"/>
      <c r="BJ103" s="262"/>
      <c r="BK103" s="338"/>
      <c r="BL103" s="431"/>
      <c r="BM103" s="339"/>
      <c r="BN103" s="234"/>
      <c r="BO103" s="234"/>
    </row>
    <row r="104" spans="1:67" s="234" customFormat="1" ht="12" customHeight="1" x14ac:dyDescent="0.2">
      <c r="A104" s="248" t="s">
        <v>389</v>
      </c>
      <c r="B104" s="406">
        <f>SUM(B101:B102)</f>
        <v>0</v>
      </c>
      <c r="C104" s="432">
        <f>ROUND(B104/12,0)</f>
        <v>0</v>
      </c>
      <c r="D104" s="404">
        <f>SUM(D101:D102)</f>
        <v>0</v>
      </c>
      <c r="E104" s="271" t="str">
        <f>IFERROR(ROUND((D104-C104)/C104,3),"0.0%")</f>
        <v>0.0%</v>
      </c>
      <c r="F104" s="340" t="str">
        <f>IFERROR(ROUND((D104-C104)/C104,3),"0.0%")</f>
        <v>0.0%</v>
      </c>
      <c r="G104" s="404">
        <f>SUM(G101:G102)</f>
        <v>0</v>
      </c>
      <c r="H104" s="271" t="str">
        <f>IFERROR(ROUND((G104-C104)/C104,3),"0.0%")</f>
        <v>0.0%</v>
      </c>
      <c r="I104" s="340" t="str">
        <f>IFERROR(ROUND(((G104+D104)-(C104*2))/(C104*2),3),"0.0%")</f>
        <v>0.0%</v>
      </c>
      <c r="J104" s="404">
        <f>SUM(J101:J102)</f>
        <v>0</v>
      </c>
      <c r="K104" s="271" t="str">
        <f t="shared" si="212"/>
        <v>0.0%</v>
      </c>
      <c r="L104" s="340" t="str">
        <f t="shared" si="213"/>
        <v>0.0%</v>
      </c>
      <c r="M104" s="404">
        <f>SUM(M101:M102)</f>
        <v>0</v>
      </c>
      <c r="N104" s="271" t="str">
        <f t="shared" si="214"/>
        <v>0.0%</v>
      </c>
      <c r="O104" s="340" t="str">
        <f t="shared" si="215"/>
        <v>0.0%</v>
      </c>
      <c r="P104" s="404">
        <f>SUM(P101:P102)</f>
        <v>0</v>
      </c>
      <c r="Q104" s="271" t="str">
        <f t="shared" si="216"/>
        <v>0.0%</v>
      </c>
      <c r="R104" s="340" t="str">
        <f t="shared" si="217"/>
        <v>0.0%</v>
      </c>
      <c r="S104" s="404">
        <f>SUM(S101:S102)</f>
        <v>0</v>
      </c>
      <c r="T104" s="271" t="str">
        <f t="shared" si="218"/>
        <v>0.0%</v>
      </c>
      <c r="U104" s="340" t="str">
        <f t="shared" si="219"/>
        <v>0.0%</v>
      </c>
      <c r="V104" s="404">
        <f>SUM(V101:V102)</f>
        <v>0</v>
      </c>
      <c r="W104" s="271" t="str">
        <f t="shared" si="220"/>
        <v>0.0%</v>
      </c>
      <c r="X104" s="340" t="str">
        <f t="shared" si="221"/>
        <v>0.0%</v>
      </c>
      <c r="Y104" s="404">
        <f>SUM(Y101:Y102)</f>
        <v>0</v>
      </c>
      <c r="Z104" s="271" t="str">
        <f t="shared" si="222"/>
        <v>0.0%</v>
      </c>
      <c r="AA104" s="340" t="str">
        <f t="shared" si="223"/>
        <v>0.0%</v>
      </c>
      <c r="AB104" s="404">
        <f>SUM(AB101:AB102)</f>
        <v>0</v>
      </c>
      <c r="AC104" s="271" t="str">
        <f t="shared" si="224"/>
        <v>0.0%</v>
      </c>
      <c r="AD104" s="340" t="str">
        <f t="shared" si="225"/>
        <v>0.0%</v>
      </c>
      <c r="AE104" s="404">
        <f>SUM(AE101:AE102)</f>
        <v>0</v>
      </c>
      <c r="AF104" s="271" t="str">
        <f t="shared" si="226"/>
        <v>0.0%</v>
      </c>
      <c r="AG104" s="340" t="str">
        <f t="shared" si="227"/>
        <v>0.0%</v>
      </c>
      <c r="AH104" s="404">
        <f>SUM(AH101:AH102)</f>
        <v>0</v>
      </c>
      <c r="AI104" s="271" t="str">
        <f t="shared" si="228"/>
        <v>0.0%</v>
      </c>
      <c r="AJ104" s="340" t="str">
        <f t="shared" si="229"/>
        <v>0.0%</v>
      </c>
      <c r="AK104" s="404">
        <f>SUM(AK101:AK102)</f>
        <v>0</v>
      </c>
      <c r="AL104" s="271" t="str">
        <f t="shared" si="230"/>
        <v>0.0%</v>
      </c>
      <c r="AM104" s="340" t="str">
        <f t="shared" si="231"/>
        <v>0.0%</v>
      </c>
      <c r="AN104" s="404">
        <f>SUM(AN101:AN102)</f>
        <v>0</v>
      </c>
      <c r="AO104" s="271" t="str">
        <f t="shared" si="232"/>
        <v>0.0%</v>
      </c>
      <c r="AP104" s="340" t="str">
        <f t="shared" si="233"/>
        <v>0.0%</v>
      </c>
      <c r="AQ104" s="404">
        <f>SUM(AQ101:AQ102)</f>
        <v>0</v>
      </c>
      <c r="AR104" s="271" t="str">
        <f t="shared" si="234"/>
        <v>0.0%</v>
      </c>
      <c r="AS104" s="340" t="str">
        <f t="shared" si="235"/>
        <v>0.0%</v>
      </c>
      <c r="AT104" s="404">
        <f>SUM(AT101:AT102)</f>
        <v>0</v>
      </c>
      <c r="AU104" s="271" t="str">
        <f t="shared" si="236"/>
        <v>0.0%</v>
      </c>
      <c r="AV104" s="340" t="str">
        <f t="shared" si="237"/>
        <v>0.0%</v>
      </c>
      <c r="AW104" s="404">
        <f>SUM(AW101:AW102)</f>
        <v>0</v>
      </c>
      <c r="AX104" s="271" t="str">
        <f t="shared" si="238"/>
        <v>0.0%</v>
      </c>
      <c r="AY104" s="340" t="str">
        <f t="shared" si="239"/>
        <v>0.0%</v>
      </c>
      <c r="AZ104" s="404">
        <f>SUM(AZ101:AZ102)</f>
        <v>0</v>
      </c>
      <c r="BA104" s="271" t="str">
        <f t="shared" si="240"/>
        <v>0.0%</v>
      </c>
      <c r="BB104" s="340" t="str">
        <f t="shared" si="241"/>
        <v>0.0%</v>
      </c>
      <c r="BC104" s="404">
        <f>SUM(BC101:BC102)</f>
        <v>0</v>
      </c>
      <c r="BD104" s="271" t="str">
        <f t="shared" si="242"/>
        <v>0.0%</v>
      </c>
      <c r="BE104" s="340" t="str">
        <f t="shared" si="243"/>
        <v>0.0%</v>
      </c>
      <c r="BF104" s="404">
        <f>SUM(BF101:BF102)</f>
        <v>0</v>
      </c>
      <c r="BG104" s="271" t="str">
        <f t="shared" si="209"/>
        <v>0.0%</v>
      </c>
      <c r="BH104" s="340" t="str">
        <f t="shared" si="210"/>
        <v>0.0%</v>
      </c>
      <c r="BI104" s="404">
        <f>SUM(BI101:BI102)</f>
        <v>0</v>
      </c>
      <c r="BJ104" s="271" t="str">
        <f t="shared" si="244"/>
        <v>0.0%</v>
      </c>
      <c r="BK104" s="324" t="str">
        <f t="shared" si="245"/>
        <v>0.0%</v>
      </c>
      <c r="BL104" s="412">
        <f>SUM(BL101:BL102)</f>
        <v>0</v>
      </c>
      <c r="BM104" s="340" t="str">
        <f t="shared" si="211"/>
        <v>0.0%</v>
      </c>
    </row>
    <row r="105" spans="1:67" s="233" customFormat="1" ht="12" x14ac:dyDescent="0.2">
      <c r="A105" s="242" t="s">
        <v>388</v>
      </c>
      <c r="B105" s="406">
        <f>B59</f>
        <v>0</v>
      </c>
      <c r="C105" s="426">
        <f>ROUND(B105/12,0)</f>
        <v>0</v>
      </c>
      <c r="D105" s="404">
        <f>D59</f>
        <v>0</v>
      </c>
      <c r="E105" s="260" t="str">
        <f>IFERROR(ROUND((D105-C105)/C105,3),"0.0%")</f>
        <v>0.0%</v>
      </c>
      <c r="F105" s="307" t="str">
        <f>IFERROR(ROUND((D105-C105)/C105,3),"0.0%")</f>
        <v>0.0%</v>
      </c>
      <c r="G105" s="404">
        <f>G59</f>
        <v>0</v>
      </c>
      <c r="H105" s="260" t="str">
        <f>IFERROR(ROUND((G105-C105)/C105,3),"0.0%")</f>
        <v>0.0%</v>
      </c>
      <c r="I105" s="307" t="str">
        <f>IFERROR(ROUND(((G105+D105)-(C105*2))/(C105*2),3),"0.0%")</f>
        <v>0.0%</v>
      </c>
      <c r="J105" s="404">
        <f>J59</f>
        <v>0</v>
      </c>
      <c r="K105" s="260" t="str">
        <f t="shared" si="212"/>
        <v>0.0%</v>
      </c>
      <c r="L105" s="307" t="str">
        <f t="shared" si="213"/>
        <v>0.0%</v>
      </c>
      <c r="M105" s="404">
        <f>M59</f>
        <v>0</v>
      </c>
      <c r="N105" s="260" t="str">
        <f t="shared" si="214"/>
        <v>0.0%</v>
      </c>
      <c r="O105" s="307" t="str">
        <f t="shared" si="215"/>
        <v>0.0%</v>
      </c>
      <c r="P105" s="404">
        <f>P59</f>
        <v>0</v>
      </c>
      <c r="Q105" s="260" t="str">
        <f t="shared" si="216"/>
        <v>0.0%</v>
      </c>
      <c r="R105" s="307" t="str">
        <f t="shared" si="217"/>
        <v>0.0%</v>
      </c>
      <c r="S105" s="404">
        <f>S59</f>
        <v>0</v>
      </c>
      <c r="T105" s="260" t="str">
        <f t="shared" si="218"/>
        <v>0.0%</v>
      </c>
      <c r="U105" s="307" t="str">
        <f t="shared" si="219"/>
        <v>0.0%</v>
      </c>
      <c r="V105" s="404">
        <f>V59</f>
        <v>0</v>
      </c>
      <c r="W105" s="260" t="str">
        <f t="shared" si="220"/>
        <v>0.0%</v>
      </c>
      <c r="X105" s="307" t="str">
        <f t="shared" si="221"/>
        <v>0.0%</v>
      </c>
      <c r="Y105" s="404">
        <f>Y59</f>
        <v>0</v>
      </c>
      <c r="Z105" s="260" t="str">
        <f t="shared" si="222"/>
        <v>0.0%</v>
      </c>
      <c r="AA105" s="307" t="str">
        <f t="shared" si="223"/>
        <v>0.0%</v>
      </c>
      <c r="AB105" s="404">
        <f>AB59</f>
        <v>0</v>
      </c>
      <c r="AC105" s="260" t="str">
        <f t="shared" si="224"/>
        <v>0.0%</v>
      </c>
      <c r="AD105" s="307" t="str">
        <f t="shared" si="225"/>
        <v>0.0%</v>
      </c>
      <c r="AE105" s="404">
        <f>AE59</f>
        <v>0</v>
      </c>
      <c r="AF105" s="260" t="str">
        <f t="shared" si="226"/>
        <v>0.0%</v>
      </c>
      <c r="AG105" s="307" t="str">
        <f t="shared" si="227"/>
        <v>0.0%</v>
      </c>
      <c r="AH105" s="404">
        <f>AH59</f>
        <v>0</v>
      </c>
      <c r="AI105" s="260" t="str">
        <f t="shared" si="228"/>
        <v>0.0%</v>
      </c>
      <c r="AJ105" s="307" t="str">
        <f t="shared" si="229"/>
        <v>0.0%</v>
      </c>
      <c r="AK105" s="404">
        <f>AK59</f>
        <v>0</v>
      </c>
      <c r="AL105" s="260" t="str">
        <f t="shared" si="230"/>
        <v>0.0%</v>
      </c>
      <c r="AM105" s="307" t="str">
        <f t="shared" si="231"/>
        <v>0.0%</v>
      </c>
      <c r="AN105" s="404">
        <f>AN59</f>
        <v>0</v>
      </c>
      <c r="AO105" s="260" t="str">
        <f t="shared" si="232"/>
        <v>0.0%</v>
      </c>
      <c r="AP105" s="307" t="str">
        <f t="shared" si="233"/>
        <v>0.0%</v>
      </c>
      <c r="AQ105" s="404">
        <f>AQ59</f>
        <v>0</v>
      </c>
      <c r="AR105" s="260" t="str">
        <f t="shared" si="234"/>
        <v>0.0%</v>
      </c>
      <c r="AS105" s="307" t="str">
        <f t="shared" si="235"/>
        <v>0.0%</v>
      </c>
      <c r="AT105" s="404">
        <f>AT59</f>
        <v>0</v>
      </c>
      <c r="AU105" s="260" t="str">
        <f t="shared" si="236"/>
        <v>0.0%</v>
      </c>
      <c r="AV105" s="307" t="str">
        <f t="shared" si="237"/>
        <v>0.0%</v>
      </c>
      <c r="AW105" s="404">
        <f>AW59</f>
        <v>0</v>
      </c>
      <c r="AX105" s="260" t="str">
        <f t="shared" si="238"/>
        <v>0.0%</v>
      </c>
      <c r="AY105" s="307" t="str">
        <f t="shared" si="239"/>
        <v>0.0%</v>
      </c>
      <c r="AZ105" s="404">
        <f>AZ59</f>
        <v>0</v>
      </c>
      <c r="BA105" s="260" t="str">
        <f t="shared" si="240"/>
        <v>0.0%</v>
      </c>
      <c r="BB105" s="307" t="str">
        <f t="shared" si="241"/>
        <v>0.0%</v>
      </c>
      <c r="BC105" s="404">
        <f>BC59</f>
        <v>0</v>
      </c>
      <c r="BD105" s="260" t="str">
        <f t="shared" si="242"/>
        <v>0.0%</v>
      </c>
      <c r="BE105" s="307" t="str">
        <f t="shared" si="243"/>
        <v>0.0%</v>
      </c>
      <c r="BF105" s="404">
        <f>BF59</f>
        <v>0</v>
      </c>
      <c r="BG105" s="260" t="str">
        <f t="shared" si="209"/>
        <v>0.0%</v>
      </c>
      <c r="BH105" s="307" t="str">
        <f t="shared" si="210"/>
        <v>0.0%</v>
      </c>
      <c r="BI105" s="404">
        <f>BI59</f>
        <v>0</v>
      </c>
      <c r="BJ105" s="260" t="str">
        <f t="shared" si="244"/>
        <v>0.0%</v>
      </c>
      <c r="BK105" s="261" t="str">
        <f t="shared" si="245"/>
        <v>0.0%</v>
      </c>
      <c r="BL105" s="391">
        <f>BL59</f>
        <v>0</v>
      </c>
      <c r="BM105" s="307" t="str">
        <f t="shared" si="211"/>
        <v>0.0%</v>
      </c>
      <c r="BN105" s="234"/>
      <c r="BO105" s="234"/>
    </row>
    <row r="106" spans="1:67" s="234" customFormat="1" thickBot="1" x14ac:dyDescent="0.25">
      <c r="A106" s="243"/>
      <c r="B106" s="433"/>
      <c r="C106" s="434"/>
      <c r="D106" s="435"/>
      <c r="E106" s="310"/>
      <c r="F106" s="309"/>
      <c r="G106" s="435"/>
      <c r="H106" s="310"/>
      <c r="I106" s="309"/>
      <c r="J106" s="435"/>
      <c r="K106" s="310" t="str">
        <f t="shared" si="212"/>
        <v>0.0%</v>
      </c>
      <c r="L106" s="309" t="str">
        <f t="shared" si="213"/>
        <v>0.0%</v>
      </c>
      <c r="M106" s="435"/>
      <c r="N106" s="310" t="str">
        <f t="shared" si="214"/>
        <v>0.0%</v>
      </c>
      <c r="O106" s="309" t="str">
        <f t="shared" si="215"/>
        <v>0.0%</v>
      </c>
      <c r="P106" s="435"/>
      <c r="Q106" s="310" t="str">
        <f t="shared" si="216"/>
        <v>0.0%</v>
      </c>
      <c r="R106" s="309" t="str">
        <f t="shared" si="217"/>
        <v>0.0%</v>
      </c>
      <c r="S106" s="435"/>
      <c r="T106" s="310" t="str">
        <f t="shared" si="218"/>
        <v>0.0%</v>
      </c>
      <c r="U106" s="309" t="str">
        <f t="shared" si="219"/>
        <v>0.0%</v>
      </c>
      <c r="V106" s="435"/>
      <c r="W106" s="310" t="str">
        <f t="shared" si="220"/>
        <v>0.0%</v>
      </c>
      <c r="X106" s="309" t="str">
        <f t="shared" si="221"/>
        <v>0.0%</v>
      </c>
      <c r="Y106" s="435"/>
      <c r="Z106" s="310" t="str">
        <f t="shared" si="222"/>
        <v>0.0%</v>
      </c>
      <c r="AA106" s="309" t="str">
        <f t="shared" si="223"/>
        <v>0.0%</v>
      </c>
      <c r="AB106" s="435"/>
      <c r="AC106" s="310" t="str">
        <f t="shared" si="224"/>
        <v>0.0%</v>
      </c>
      <c r="AD106" s="309" t="str">
        <f t="shared" si="225"/>
        <v>0.0%</v>
      </c>
      <c r="AE106" s="435"/>
      <c r="AF106" s="310" t="str">
        <f t="shared" si="226"/>
        <v>0.0%</v>
      </c>
      <c r="AG106" s="309" t="str">
        <f t="shared" si="227"/>
        <v>0.0%</v>
      </c>
      <c r="AH106" s="435"/>
      <c r="AI106" s="310" t="str">
        <f t="shared" si="228"/>
        <v>0.0%</v>
      </c>
      <c r="AJ106" s="309" t="str">
        <f t="shared" si="229"/>
        <v>0.0%</v>
      </c>
      <c r="AK106" s="435"/>
      <c r="AL106" s="310" t="str">
        <f t="shared" si="230"/>
        <v>0.0%</v>
      </c>
      <c r="AM106" s="309" t="str">
        <f t="shared" si="231"/>
        <v>0.0%</v>
      </c>
      <c r="AN106" s="435"/>
      <c r="AO106" s="310" t="str">
        <f t="shared" si="232"/>
        <v>0.0%</v>
      </c>
      <c r="AP106" s="309" t="str">
        <f t="shared" si="233"/>
        <v>0.0%</v>
      </c>
      <c r="AQ106" s="435"/>
      <c r="AR106" s="310" t="str">
        <f t="shared" si="234"/>
        <v>0.0%</v>
      </c>
      <c r="AS106" s="309" t="str">
        <f t="shared" si="235"/>
        <v>0.0%</v>
      </c>
      <c r="AT106" s="435"/>
      <c r="AU106" s="310" t="str">
        <f t="shared" si="236"/>
        <v>0.0%</v>
      </c>
      <c r="AV106" s="309" t="str">
        <f t="shared" si="237"/>
        <v>0.0%</v>
      </c>
      <c r="AW106" s="435"/>
      <c r="AX106" s="310" t="str">
        <f t="shared" si="238"/>
        <v>0.0%</v>
      </c>
      <c r="AY106" s="309" t="str">
        <f t="shared" si="239"/>
        <v>0.0%</v>
      </c>
      <c r="AZ106" s="435"/>
      <c r="BA106" s="310" t="str">
        <f t="shared" si="240"/>
        <v>0.0%</v>
      </c>
      <c r="BB106" s="309" t="str">
        <f t="shared" si="241"/>
        <v>0.0%</v>
      </c>
      <c r="BC106" s="435"/>
      <c r="BD106" s="310" t="str">
        <f t="shared" si="242"/>
        <v>0.0%</v>
      </c>
      <c r="BE106" s="309" t="str">
        <f t="shared" si="243"/>
        <v>0.0%</v>
      </c>
      <c r="BF106" s="435"/>
      <c r="BG106" s="310" t="str">
        <f t="shared" si="209"/>
        <v>0.0%</v>
      </c>
      <c r="BH106" s="309" t="str">
        <f t="shared" si="210"/>
        <v>0.0%</v>
      </c>
      <c r="BI106" s="435"/>
      <c r="BJ106" s="310" t="str">
        <f t="shared" si="244"/>
        <v>0.0%</v>
      </c>
      <c r="BK106" s="310" t="str">
        <f t="shared" si="245"/>
        <v>0.0%</v>
      </c>
      <c r="BL106" s="436"/>
      <c r="BM106" s="309" t="str">
        <f t="shared" si="211"/>
        <v>0.0%</v>
      </c>
    </row>
    <row r="107" spans="1:67" s="233" customFormat="1" ht="36" x14ac:dyDescent="0.2">
      <c r="A107" s="248" t="s">
        <v>276</v>
      </c>
      <c r="B107" s="437">
        <f>SUM(B104:B105)</f>
        <v>0</v>
      </c>
      <c r="C107" s="438">
        <f>ROUND(B107/12,0)</f>
        <v>0</v>
      </c>
      <c r="D107" s="439">
        <f>SUM(D104:D105)</f>
        <v>0</v>
      </c>
      <c r="E107" s="273" t="str">
        <f>IFERROR(ROUND((D107-C107)/C107,3),"0.0%")</f>
        <v>0.0%</v>
      </c>
      <c r="F107" s="274" t="str">
        <f>IFERROR(ROUND((D107-C107)/C107,3),"0.0%")</f>
        <v>0.0%</v>
      </c>
      <c r="G107" s="439">
        <f>SUM(G104:G105)</f>
        <v>0</v>
      </c>
      <c r="H107" s="273" t="str">
        <f>IFERROR(ROUND((G107-C107)/C107,3),"0.0%")</f>
        <v>0.0%</v>
      </c>
      <c r="I107" s="274" t="str">
        <f>IFERROR(ROUND(((G107+D107)-(C107*2))/(C107*2),3),"0.0%")</f>
        <v>0.0%</v>
      </c>
      <c r="J107" s="439">
        <f>SUM(J104:J105)</f>
        <v>0</v>
      </c>
      <c r="K107" s="273" t="str">
        <f t="shared" si="212"/>
        <v>0.0%</v>
      </c>
      <c r="L107" s="274" t="str">
        <f t="shared" si="213"/>
        <v>0.0%</v>
      </c>
      <c r="M107" s="439">
        <f>SUM(M104:M105)</f>
        <v>0</v>
      </c>
      <c r="N107" s="273" t="str">
        <f t="shared" si="214"/>
        <v>0.0%</v>
      </c>
      <c r="O107" s="274" t="str">
        <f t="shared" si="215"/>
        <v>0.0%</v>
      </c>
      <c r="P107" s="439">
        <f>SUM(P104:P105)</f>
        <v>0</v>
      </c>
      <c r="Q107" s="273" t="str">
        <f t="shared" si="216"/>
        <v>0.0%</v>
      </c>
      <c r="R107" s="274" t="str">
        <f t="shared" si="217"/>
        <v>0.0%</v>
      </c>
      <c r="S107" s="439">
        <f>SUM(S104:S105)</f>
        <v>0</v>
      </c>
      <c r="T107" s="273" t="str">
        <f t="shared" si="218"/>
        <v>0.0%</v>
      </c>
      <c r="U107" s="274" t="str">
        <f t="shared" si="219"/>
        <v>0.0%</v>
      </c>
      <c r="V107" s="439">
        <f>SUM(V104:V105)</f>
        <v>0</v>
      </c>
      <c r="W107" s="273" t="str">
        <f t="shared" si="220"/>
        <v>0.0%</v>
      </c>
      <c r="X107" s="274" t="str">
        <f t="shared" si="221"/>
        <v>0.0%</v>
      </c>
      <c r="Y107" s="439">
        <f>SUM(Y104:Y105)</f>
        <v>0</v>
      </c>
      <c r="Z107" s="273" t="str">
        <f t="shared" si="222"/>
        <v>0.0%</v>
      </c>
      <c r="AA107" s="274" t="str">
        <f t="shared" si="223"/>
        <v>0.0%</v>
      </c>
      <c r="AB107" s="439">
        <f>SUM(AB104:AB105)</f>
        <v>0</v>
      </c>
      <c r="AC107" s="273" t="str">
        <f t="shared" si="224"/>
        <v>0.0%</v>
      </c>
      <c r="AD107" s="274" t="str">
        <f t="shared" si="225"/>
        <v>0.0%</v>
      </c>
      <c r="AE107" s="439">
        <f>SUM(AE104:AE105)</f>
        <v>0</v>
      </c>
      <c r="AF107" s="273" t="str">
        <f t="shared" si="226"/>
        <v>0.0%</v>
      </c>
      <c r="AG107" s="274" t="str">
        <f t="shared" si="227"/>
        <v>0.0%</v>
      </c>
      <c r="AH107" s="439">
        <f>SUM(AH104:AH105)</f>
        <v>0</v>
      </c>
      <c r="AI107" s="273" t="str">
        <f t="shared" si="228"/>
        <v>0.0%</v>
      </c>
      <c r="AJ107" s="274" t="str">
        <f t="shared" si="229"/>
        <v>0.0%</v>
      </c>
      <c r="AK107" s="439">
        <f>SUM(AK104:AK105)</f>
        <v>0</v>
      </c>
      <c r="AL107" s="273" t="str">
        <f t="shared" si="230"/>
        <v>0.0%</v>
      </c>
      <c r="AM107" s="274" t="str">
        <f t="shared" si="231"/>
        <v>0.0%</v>
      </c>
      <c r="AN107" s="439">
        <f>SUM(AN104:AN105)</f>
        <v>0</v>
      </c>
      <c r="AO107" s="273" t="str">
        <f t="shared" si="232"/>
        <v>0.0%</v>
      </c>
      <c r="AP107" s="274" t="str">
        <f t="shared" si="233"/>
        <v>0.0%</v>
      </c>
      <c r="AQ107" s="439">
        <f>SUM(AQ104:AQ105)</f>
        <v>0</v>
      </c>
      <c r="AR107" s="273" t="str">
        <f t="shared" si="234"/>
        <v>0.0%</v>
      </c>
      <c r="AS107" s="274" t="str">
        <f t="shared" si="235"/>
        <v>0.0%</v>
      </c>
      <c r="AT107" s="439">
        <f>SUM(AT104:AT105)</f>
        <v>0</v>
      </c>
      <c r="AU107" s="273" t="str">
        <f t="shared" si="236"/>
        <v>0.0%</v>
      </c>
      <c r="AV107" s="274" t="str">
        <f t="shared" si="237"/>
        <v>0.0%</v>
      </c>
      <c r="AW107" s="439">
        <f>SUM(AW104:AW105)</f>
        <v>0</v>
      </c>
      <c r="AX107" s="273" t="str">
        <f t="shared" si="238"/>
        <v>0.0%</v>
      </c>
      <c r="AY107" s="274" t="str">
        <f t="shared" si="239"/>
        <v>0.0%</v>
      </c>
      <c r="AZ107" s="439">
        <f>SUM(AZ104:AZ105)</f>
        <v>0</v>
      </c>
      <c r="BA107" s="273" t="str">
        <f t="shared" si="240"/>
        <v>0.0%</v>
      </c>
      <c r="BB107" s="274" t="str">
        <f t="shared" si="241"/>
        <v>0.0%</v>
      </c>
      <c r="BC107" s="439">
        <f>SUM(BC104:BC105)</f>
        <v>0</v>
      </c>
      <c r="BD107" s="273" t="str">
        <f t="shared" si="242"/>
        <v>0.0%</v>
      </c>
      <c r="BE107" s="274" t="str">
        <f t="shared" si="243"/>
        <v>0.0%</v>
      </c>
      <c r="BF107" s="439">
        <f>SUM(BF104:BF105)</f>
        <v>0</v>
      </c>
      <c r="BG107" s="273" t="str">
        <f t="shared" si="209"/>
        <v>0.0%</v>
      </c>
      <c r="BH107" s="274" t="str">
        <f t="shared" si="210"/>
        <v>0.0%</v>
      </c>
      <c r="BI107" s="439">
        <f>SUM(BI104:BI105)</f>
        <v>0</v>
      </c>
      <c r="BJ107" s="273" t="str">
        <f t="shared" si="244"/>
        <v>0.0%</v>
      </c>
      <c r="BK107" s="341" t="str">
        <f t="shared" si="245"/>
        <v>0.0%</v>
      </c>
      <c r="BL107" s="384">
        <f>SUM(BL104:BL105)</f>
        <v>0</v>
      </c>
      <c r="BM107" s="306" t="str">
        <f t="shared" si="211"/>
        <v>0.0%</v>
      </c>
    </row>
    <row r="108" spans="1:67" s="233" customFormat="1" thickBot="1" x14ac:dyDescent="0.25">
      <c r="A108" s="252"/>
      <c r="B108" s="278"/>
      <c r="C108" s="440"/>
      <c r="D108" s="407"/>
      <c r="E108" s="288"/>
      <c r="F108" s="289"/>
      <c r="G108" s="407"/>
      <c r="H108" s="288"/>
      <c r="I108" s="289"/>
      <c r="J108" s="407"/>
      <c r="K108" s="288"/>
      <c r="L108" s="289"/>
      <c r="M108" s="407"/>
      <c r="N108" s="288"/>
      <c r="O108" s="289"/>
      <c r="P108" s="407"/>
      <c r="Q108" s="288"/>
      <c r="R108" s="289"/>
      <c r="S108" s="407"/>
      <c r="T108" s="288"/>
      <c r="U108" s="289"/>
      <c r="V108" s="407"/>
      <c r="W108" s="288"/>
      <c r="X108" s="289"/>
      <c r="Y108" s="407"/>
      <c r="Z108" s="288"/>
      <c r="AA108" s="289"/>
      <c r="AB108" s="407"/>
      <c r="AC108" s="288"/>
      <c r="AD108" s="289"/>
      <c r="AE108" s="407"/>
      <c r="AF108" s="288"/>
      <c r="AG108" s="289"/>
      <c r="AH108" s="407"/>
      <c r="AI108" s="288"/>
      <c r="AJ108" s="289"/>
      <c r="AK108" s="407"/>
      <c r="AL108" s="288"/>
      <c r="AM108" s="289"/>
      <c r="AN108" s="407"/>
      <c r="AO108" s="288"/>
      <c r="AP108" s="289"/>
      <c r="AQ108" s="407"/>
      <c r="AR108" s="288"/>
      <c r="AS108" s="289"/>
      <c r="AT108" s="407"/>
      <c r="AU108" s="288"/>
      <c r="AV108" s="289"/>
      <c r="AW108" s="407"/>
      <c r="AX108" s="288"/>
      <c r="AY108" s="289"/>
      <c r="AZ108" s="407"/>
      <c r="BA108" s="288"/>
      <c r="BB108" s="289"/>
      <c r="BC108" s="407"/>
      <c r="BD108" s="288"/>
      <c r="BE108" s="289"/>
      <c r="BF108" s="407"/>
      <c r="BG108" s="288"/>
      <c r="BH108" s="289"/>
      <c r="BI108" s="407"/>
      <c r="BJ108" s="288"/>
      <c r="BK108" s="288"/>
      <c r="BL108" s="441"/>
      <c r="BM108" s="342"/>
    </row>
    <row r="109" spans="1:67" s="233" customFormat="1" ht="13.5" thickTop="1" thickBot="1" x14ac:dyDescent="0.25">
      <c r="A109" s="239"/>
      <c r="B109" s="409"/>
      <c r="C109" s="409"/>
      <c r="D109" s="409"/>
      <c r="E109" s="268"/>
      <c r="F109" s="268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  <c r="AA109" s="295"/>
      <c r="AB109" s="295"/>
      <c r="AC109" s="295"/>
      <c r="AD109" s="295"/>
      <c r="AE109" s="295"/>
      <c r="AF109" s="295"/>
      <c r="AG109" s="295"/>
      <c r="AH109" s="295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5"/>
      <c r="AS109" s="295"/>
      <c r="AT109" s="295"/>
      <c r="AU109" s="295"/>
      <c r="AV109" s="295"/>
      <c r="AW109" s="295"/>
      <c r="AX109" s="295"/>
      <c r="AY109" s="295"/>
      <c r="AZ109" s="295"/>
      <c r="BA109" s="295"/>
      <c r="BB109" s="295"/>
      <c r="BC109" s="295"/>
      <c r="BD109" s="295"/>
      <c r="BE109" s="295"/>
      <c r="BF109" s="295"/>
      <c r="BG109" s="295"/>
      <c r="BH109" s="295"/>
      <c r="BI109" s="295"/>
      <c r="BJ109" s="295"/>
      <c r="BK109" s="295"/>
      <c r="BL109" s="295"/>
      <c r="BM109" s="295"/>
    </row>
    <row r="110" spans="1:67" s="233" customFormat="1" ht="16.5" customHeight="1" thickBot="1" x14ac:dyDescent="0.25">
      <c r="A110" s="507" t="s">
        <v>552</v>
      </c>
      <c r="B110" s="508"/>
      <c r="C110" s="509"/>
      <c r="D110" s="379"/>
      <c r="E110" s="280"/>
      <c r="F110" s="281"/>
      <c r="G110" s="375"/>
      <c r="H110" s="298"/>
      <c r="I110" s="299"/>
      <c r="J110" s="375"/>
      <c r="K110" s="298"/>
      <c r="L110" s="299"/>
      <c r="M110" s="375"/>
      <c r="N110" s="298"/>
      <c r="O110" s="299"/>
      <c r="P110" s="375"/>
      <c r="Q110" s="298"/>
      <c r="R110" s="298"/>
      <c r="S110" s="375"/>
      <c r="T110" s="298"/>
      <c r="U110" s="299"/>
      <c r="V110" s="380"/>
      <c r="W110" s="298"/>
      <c r="X110" s="298"/>
      <c r="Y110" s="375"/>
      <c r="Z110" s="298"/>
      <c r="AA110" s="299"/>
      <c r="AB110" s="375"/>
      <c r="AC110" s="298"/>
      <c r="AD110" s="299"/>
      <c r="AE110" s="375"/>
      <c r="AF110" s="298"/>
      <c r="AG110" s="299"/>
      <c r="AH110" s="375"/>
      <c r="AI110" s="298"/>
      <c r="AJ110" s="299"/>
      <c r="AK110" s="375"/>
      <c r="AL110" s="298"/>
      <c r="AM110" s="299"/>
      <c r="AN110" s="375"/>
      <c r="AO110" s="298"/>
      <c r="AP110" s="299"/>
      <c r="AQ110" s="375"/>
      <c r="AR110" s="298"/>
      <c r="AS110" s="299"/>
      <c r="AT110" s="375"/>
      <c r="AU110" s="298"/>
      <c r="AV110" s="299"/>
      <c r="AW110" s="375"/>
      <c r="AX110" s="298"/>
      <c r="AY110" s="299"/>
      <c r="AZ110" s="375"/>
      <c r="BA110" s="298"/>
      <c r="BB110" s="298"/>
      <c r="BC110" s="375"/>
      <c r="BD110" s="298"/>
      <c r="BE110" s="298"/>
      <c r="BF110" s="375"/>
      <c r="BG110" s="298"/>
      <c r="BH110" s="298"/>
      <c r="BI110" s="375"/>
      <c r="BJ110" s="298"/>
      <c r="BK110" s="298"/>
      <c r="BL110" s="375"/>
      <c r="BM110" s="299"/>
    </row>
    <row r="111" spans="1:67" s="233" customFormat="1" ht="12" x14ac:dyDescent="0.2">
      <c r="A111" s="244" t="s">
        <v>244</v>
      </c>
      <c r="B111" s="381"/>
      <c r="C111" s="382">
        <f>ROUND(B111/12,0)</f>
        <v>0</v>
      </c>
      <c r="D111" s="381"/>
      <c r="E111" s="258" t="str">
        <f t="shared" ref="E111:E135" si="246">IFERROR(ROUND((D111-C111)/C111,3),"0.0%")</f>
        <v>0.0%</v>
      </c>
      <c r="F111" s="259" t="str">
        <f>IFERROR(ROUND((D111-C111)/C111,3),"0.0%")</f>
        <v>0.0%</v>
      </c>
      <c r="G111" s="381"/>
      <c r="H111" s="258" t="str">
        <f>IFERROR(ROUND((G111-C111)/C111,3),"0.0%")</f>
        <v>0.0%</v>
      </c>
      <c r="I111" s="259" t="str">
        <f>IFERROR(ROUND(((G111+D111)-(C111*2))/(C111*2),3),"0.0%")</f>
        <v>0.0%</v>
      </c>
      <c r="J111" s="381"/>
      <c r="K111" s="302" t="str">
        <f t="shared" ref="K111:K135" si="247">IFERROR(ROUND((J111-C111)/C111,3),"0.0%")</f>
        <v>0.0%</v>
      </c>
      <c r="L111" s="286" t="str">
        <f t="shared" ref="L111:L135" si="248">IFERROR(ROUND(((J111+G111+D111)-(C111*3))/(C111*3),3),"0.0%")</f>
        <v>0.0%</v>
      </c>
      <c r="M111" s="384">
        <f>ROUND(D111+G111+J111,0)</f>
        <v>0</v>
      </c>
      <c r="N111" s="302" t="str">
        <f>IFERROR(ROUND((M111-(C111*3))/(C111*3),3),"0.0%")</f>
        <v>0.0%</v>
      </c>
      <c r="O111" s="287" t="str">
        <f>IFERROR(ROUND(((M111)-(C111*3))/(C111*3),3),"0.0%")</f>
        <v>0.0%</v>
      </c>
      <c r="P111" s="381"/>
      <c r="Q111" s="258" t="str">
        <f>IFERROR(ROUND((P111-C111)/C111,3),"0.0%")</f>
        <v>0.0%</v>
      </c>
      <c r="R111" s="259" t="str">
        <f>IFERROR(ROUND(((P111+M111)-(C111*4))/(C111*4),3),"0.0%")</f>
        <v>0.0%</v>
      </c>
      <c r="S111" s="381"/>
      <c r="T111" s="258" t="str">
        <f t="shared" ref="T111:T135" si="249">IFERROR(ROUND((S111-C111)/C111,3),"0.0%")</f>
        <v>0.0%</v>
      </c>
      <c r="U111" s="306" t="str">
        <f t="shared" ref="U111:U135" si="250">IFERROR(ROUND(((S111+P111+M111)-(C111*5))/(C111*5),3),"0.0%")</f>
        <v>0.0%</v>
      </c>
      <c r="V111" s="381"/>
      <c r="W111" s="258" t="str">
        <f>IFERROR(ROUND((V111-C111)/C111,3),"0.0%")</f>
        <v>0.0%</v>
      </c>
      <c r="X111" s="306" t="str">
        <f>IFERROR(ROUND(((V111+S111+P111+M111)-(C111*6))/(C111*6),3),"0.0%")</f>
        <v>0.0%</v>
      </c>
      <c r="Y111" s="384">
        <f>ROUND(V111+S111+P111,0)</f>
        <v>0</v>
      </c>
      <c r="Z111" s="258" t="str">
        <f>IFERROR(ROUND((Y111-(C111*3))/(C111*3),3),"0.0%")</f>
        <v>0.0%</v>
      </c>
      <c r="AA111" s="306" t="str">
        <f>IFERROR(ROUND(((Y111+M111)-(C111*6))/(C111*6),3),"0.0%")</f>
        <v>0.0%</v>
      </c>
      <c r="AB111" s="381"/>
      <c r="AC111" s="258" t="str">
        <f t="shared" ref="AC111:AC135" si="251">IFERROR(ROUND((AB111-C111)/C111,3),"0.0%")</f>
        <v>0.0%</v>
      </c>
      <c r="AD111" s="306" t="str">
        <f t="shared" ref="AD111:AD135" si="252">IFERROR(ROUND(((AB111+Y111+M111)-(C111*7))/(C111*7),3),"0.0%")</f>
        <v>0.0%</v>
      </c>
      <c r="AE111" s="381"/>
      <c r="AF111" s="258" t="str">
        <f t="shared" ref="AF111:AF135" si="253">IFERROR(ROUND((AE111-C111)/C111,3),"0.0%")</f>
        <v>0.0%</v>
      </c>
      <c r="AG111" s="306" t="str">
        <f t="shared" ref="AG111:AG135" si="254">IFERROR(ROUND(((AE111+AB111+Y111+M111)-(C111*8))/(C111*8),3),"0.0%")</f>
        <v>0.0%</v>
      </c>
      <c r="AH111" s="381"/>
      <c r="AI111" s="258" t="str">
        <f>IFERROR(ROUND((AH111-C111)/C111,3),"0.0%")</f>
        <v>0.0%</v>
      </c>
      <c r="AJ111" s="306" t="str">
        <f>IFERROR(ROUND(((AH111+AE111+AB111+Y111+M111)-(C111*9))/(C111*9),3),"0.0%")</f>
        <v>0.0%</v>
      </c>
      <c r="AK111" s="384">
        <f>ROUND(AH111+AE111+AB111,0)</f>
        <v>0</v>
      </c>
      <c r="AL111" s="258" t="str">
        <f t="shared" ref="AL111:AL135" si="255">IFERROR(ROUND((AK111-(C111*3))/(C111*3),3),"0.0%")</f>
        <v>0.0%</v>
      </c>
      <c r="AM111" s="306" t="str">
        <f t="shared" ref="AM111:AM135" si="256">IFERROR(ROUND(((AK111+Y111+M111)-(C111*9))/(C111*9),3),"0.0%")</f>
        <v>0.0%</v>
      </c>
      <c r="AN111" s="381"/>
      <c r="AO111" s="258" t="str">
        <f>IFERROR(ROUND((AN111-C111)/C111,3),"0.0%")</f>
        <v>0.0%</v>
      </c>
      <c r="AP111" s="306" t="str">
        <f>IFERROR(ROUND(((AN111+AK111+Y111+M111)-(C111*10))/(C111*10),3),"0.0%")</f>
        <v>0.0%</v>
      </c>
      <c r="AQ111" s="381"/>
      <c r="AR111" s="258" t="str">
        <f t="shared" ref="AR111:AR135" si="257">IFERROR(ROUND((AQ111-C111)/C111,3),"0.0%")</f>
        <v>0.0%</v>
      </c>
      <c r="AS111" s="306" t="str">
        <f t="shared" ref="AS111:AS135" si="258">IFERROR(ROUND(((AQ111+AN111+AK111+Y111+M111)-(C111*11))/(C111*11),3),"0.0%")</f>
        <v>0.0%</v>
      </c>
      <c r="AT111" s="381"/>
      <c r="AU111" s="258" t="str">
        <f>IFERROR(ROUND((AT111-C111)/C111,3),"0.0%")</f>
        <v>0.0%</v>
      </c>
      <c r="AV111" s="306" t="str">
        <f>IFERROR(ROUND(((AT111+AQ111+AN111+AK111+Y111+M111)-(C111*12))/(C111*12),3),"0.0%")</f>
        <v>0.0%</v>
      </c>
      <c r="AW111" s="384">
        <f>ROUND(AT111+AQ111+AN111,0)</f>
        <v>0</v>
      </c>
      <c r="AX111" s="258" t="str">
        <f t="shared" ref="AX111:AX135" si="259">IFERROR(ROUND((AW111-(C111*3))/(C111*3),3),"0.0%")</f>
        <v>0.0%</v>
      </c>
      <c r="AY111" s="306" t="str">
        <f t="shared" ref="AY111:AY135" si="260">IFERROR(ROUND(((AW111+AK111+Y111+M111)-(C111*12))/(C111*12),3),"0.0%")</f>
        <v>0.0%</v>
      </c>
      <c r="AZ111" s="384">
        <f>M111</f>
        <v>0</v>
      </c>
      <c r="BA111" s="258" t="str">
        <f t="shared" ref="BA111:BA135" si="261">N111</f>
        <v>0.0%</v>
      </c>
      <c r="BB111" s="259" t="str">
        <f t="shared" ref="BB111:BB135" si="262">O111</f>
        <v>0.0%</v>
      </c>
      <c r="BC111" s="384">
        <f>Y111</f>
        <v>0</v>
      </c>
      <c r="BD111" s="258" t="str">
        <f>Z111</f>
        <v>0.0%</v>
      </c>
      <c r="BE111" s="259" t="str">
        <f>AA111</f>
        <v>0.0%</v>
      </c>
      <c r="BF111" s="384">
        <f>AK111</f>
        <v>0</v>
      </c>
      <c r="BG111" s="258" t="str">
        <f>AL111</f>
        <v>0.0%</v>
      </c>
      <c r="BH111" s="259" t="str">
        <f>AM111</f>
        <v>0.0%</v>
      </c>
      <c r="BI111" s="384">
        <f>AW111</f>
        <v>0</v>
      </c>
      <c r="BJ111" s="258" t="str">
        <f>AX111</f>
        <v>0.0%</v>
      </c>
      <c r="BK111" s="259" t="str">
        <f>AY111</f>
        <v>0.0%</v>
      </c>
      <c r="BL111" s="384">
        <f>ROUND(AZ111+BC111+BF111+BI111,0)</f>
        <v>0</v>
      </c>
      <c r="BM111" s="306" t="str">
        <f>IFERROR(ROUND((BL111-B111)/B111,3),"0.0%")</f>
        <v>0.0%</v>
      </c>
    </row>
    <row r="112" spans="1:67" s="233" customFormat="1" ht="12" x14ac:dyDescent="0.2">
      <c r="A112" s="242" t="s">
        <v>399</v>
      </c>
      <c r="B112" s="386"/>
      <c r="C112" s="387">
        <f t="shared" ref="C112:C137" si="263">ROUND(B112/12,0)</f>
        <v>0</v>
      </c>
      <c r="D112" s="386"/>
      <c r="E112" s="260" t="str">
        <f t="shared" si="246"/>
        <v>0.0%</v>
      </c>
      <c r="F112" s="261" t="str">
        <f t="shared" ref="F112:F135" si="264">IFERROR(ROUND((D112-C112)/C112,3),"0.0%")</f>
        <v>0.0%</v>
      </c>
      <c r="G112" s="386"/>
      <c r="H112" s="260" t="str">
        <f t="shared" ref="H112:H135" si="265">IFERROR(ROUND((G112-C112)/C112,3),"0.0%")</f>
        <v>0.0%</v>
      </c>
      <c r="I112" s="261" t="str">
        <f t="shared" ref="I112:I135" si="266">IFERROR(ROUND(((G112+D112)-(C112*2))/(C112*2),3),"0.0%")</f>
        <v>0.0%</v>
      </c>
      <c r="J112" s="386"/>
      <c r="K112" s="303" t="str">
        <f t="shared" si="247"/>
        <v>0.0%</v>
      </c>
      <c r="L112" s="282" t="str">
        <f t="shared" si="248"/>
        <v>0.0%</v>
      </c>
      <c r="M112" s="391">
        <f t="shared" ref="M112:M135" si="267">ROUND(D112+G112+J112,0)</f>
        <v>0</v>
      </c>
      <c r="N112" s="303" t="str">
        <f t="shared" ref="N112:N135" si="268">IFERROR(ROUND((M112-(C112*3))/(C112*3),3),"0.0%")</f>
        <v>0.0%</v>
      </c>
      <c r="O112" s="283" t="str">
        <f t="shared" ref="O112:O135" si="269">IFERROR(ROUND(((M112)-(C112*3))/(C112*3),3),"0.0%")</f>
        <v>0.0%</v>
      </c>
      <c r="P112" s="386"/>
      <c r="Q112" s="260" t="str">
        <f t="shared" ref="Q112:Q135" si="270">IFERROR(ROUND((P112-C112)/C112,3),"0.0%")</f>
        <v>0.0%</v>
      </c>
      <c r="R112" s="261" t="str">
        <f t="shared" ref="R112:R135" si="271">IFERROR(ROUND(((P112+M112)-(C112*4))/(C112*4),3),"0.0%")</f>
        <v>0.0%</v>
      </c>
      <c r="S112" s="386"/>
      <c r="T112" s="260" t="str">
        <f t="shared" si="249"/>
        <v>0.0%</v>
      </c>
      <c r="U112" s="307" t="str">
        <f t="shared" si="250"/>
        <v>0.0%</v>
      </c>
      <c r="V112" s="386"/>
      <c r="W112" s="260" t="str">
        <f t="shared" ref="W112:W135" si="272">IFERROR(ROUND((V112-C112)/C112,3),"0.0%")</f>
        <v>0.0%</v>
      </c>
      <c r="X112" s="307" t="str">
        <f t="shared" ref="X112:X135" si="273">IFERROR(ROUND(((V112+S112+P112+M112)-(C112*6))/(C112*6),3),"0.0%")</f>
        <v>0.0%</v>
      </c>
      <c r="Y112" s="391">
        <f t="shared" ref="Y112:Y135" si="274">ROUND(V112+S112+P112,0)</f>
        <v>0</v>
      </c>
      <c r="Z112" s="260" t="str">
        <f t="shared" ref="Z112:Z135" si="275">IFERROR(ROUND((Y112-(C112*3))/(C112*3),3),"0.0%")</f>
        <v>0.0%</v>
      </c>
      <c r="AA112" s="307" t="str">
        <f t="shared" ref="AA112:AA135" si="276">IFERROR(ROUND(((Y112+M112)-(C112*6))/(C112*6),3),"0.0%")</f>
        <v>0.0%</v>
      </c>
      <c r="AB112" s="386"/>
      <c r="AC112" s="260" t="str">
        <f t="shared" si="251"/>
        <v>0.0%</v>
      </c>
      <c r="AD112" s="307" t="str">
        <f t="shared" si="252"/>
        <v>0.0%</v>
      </c>
      <c r="AE112" s="386"/>
      <c r="AF112" s="260" t="str">
        <f t="shared" si="253"/>
        <v>0.0%</v>
      </c>
      <c r="AG112" s="307" t="str">
        <f t="shared" si="254"/>
        <v>0.0%</v>
      </c>
      <c r="AH112" s="386"/>
      <c r="AI112" s="260" t="str">
        <f t="shared" ref="AI112:AI135" si="277">IFERROR(ROUND((AH112-C112)/C112,3),"0.0%")</f>
        <v>0.0%</v>
      </c>
      <c r="AJ112" s="307" t="str">
        <f t="shared" ref="AJ112:AJ135" si="278">IFERROR(ROUND(((AH112+AE112+AB112+Y112+M112)-(C112*9))/(C112*9),3),"0.0%")</f>
        <v>0.0%</v>
      </c>
      <c r="AK112" s="391">
        <f t="shared" ref="AK112:AK135" si="279">ROUND(AH112+AE112+AB112,0)</f>
        <v>0</v>
      </c>
      <c r="AL112" s="260" t="str">
        <f t="shared" si="255"/>
        <v>0.0%</v>
      </c>
      <c r="AM112" s="307" t="str">
        <f t="shared" si="256"/>
        <v>0.0%</v>
      </c>
      <c r="AN112" s="386"/>
      <c r="AO112" s="260" t="str">
        <f t="shared" ref="AO112:AO135" si="280">IFERROR(ROUND((AN112-C112)/C112,3),"0.0%")</f>
        <v>0.0%</v>
      </c>
      <c r="AP112" s="307" t="str">
        <f t="shared" ref="AP112:AP135" si="281">IFERROR(ROUND(((AN112+AK112+Y112+M112)-(C112*10))/(C112*10),3),"0.0%")</f>
        <v>0.0%</v>
      </c>
      <c r="AQ112" s="386"/>
      <c r="AR112" s="260" t="str">
        <f t="shared" si="257"/>
        <v>0.0%</v>
      </c>
      <c r="AS112" s="307" t="str">
        <f t="shared" si="258"/>
        <v>0.0%</v>
      </c>
      <c r="AT112" s="386"/>
      <c r="AU112" s="260" t="str">
        <f t="shared" ref="AU112:AU135" si="282">IFERROR(ROUND((AT112-C112)/C112,3),"0.0%")</f>
        <v>0.0%</v>
      </c>
      <c r="AV112" s="307" t="str">
        <f t="shared" ref="AV112:AV135" si="283">IFERROR(ROUND(((AT112+AQ112+AN112+AK112+Y112+M112)-(C112*12))/(C112*12),3),"0.0%")</f>
        <v>0.0%</v>
      </c>
      <c r="AW112" s="391">
        <f t="shared" ref="AW112:AW135" si="284">ROUND(AT112+AQ112+AN112,0)</f>
        <v>0</v>
      </c>
      <c r="AX112" s="260" t="str">
        <f t="shared" si="259"/>
        <v>0.0%</v>
      </c>
      <c r="AY112" s="307" t="str">
        <f t="shared" si="260"/>
        <v>0.0%</v>
      </c>
      <c r="AZ112" s="391">
        <f t="shared" ref="AZ112:AZ135" si="285">M112</f>
        <v>0</v>
      </c>
      <c r="BA112" s="260" t="str">
        <f t="shared" si="261"/>
        <v>0.0%</v>
      </c>
      <c r="BB112" s="261" t="str">
        <f t="shared" si="262"/>
        <v>0.0%</v>
      </c>
      <c r="BC112" s="391">
        <f t="shared" ref="BC112:BC135" si="286">Y112</f>
        <v>0</v>
      </c>
      <c r="BD112" s="260" t="str">
        <f t="shared" ref="BD112:BD135" si="287">Z112</f>
        <v>0.0%</v>
      </c>
      <c r="BE112" s="261" t="str">
        <f t="shared" ref="BE112:BE135" si="288">AA112</f>
        <v>0.0%</v>
      </c>
      <c r="BF112" s="391">
        <f t="shared" ref="BF112:BF135" si="289">AK112</f>
        <v>0</v>
      </c>
      <c r="BG112" s="260" t="str">
        <f t="shared" ref="BG112:BG135" si="290">AL112</f>
        <v>0.0%</v>
      </c>
      <c r="BH112" s="261" t="str">
        <f t="shared" ref="BH112:BH135" si="291">AM112</f>
        <v>0.0%</v>
      </c>
      <c r="BI112" s="391">
        <f t="shared" ref="BI112:BI135" si="292">AW112</f>
        <v>0</v>
      </c>
      <c r="BJ112" s="260" t="str">
        <f t="shared" ref="BJ112:BJ135" si="293">AX112</f>
        <v>0.0%</v>
      </c>
      <c r="BK112" s="261" t="str">
        <f t="shared" ref="BK112:BK135" si="294">AY112</f>
        <v>0.0%</v>
      </c>
      <c r="BL112" s="391">
        <f t="shared" ref="BL112:BL135" si="295">ROUND(AZ112+BC112+BF112+BI112,0)</f>
        <v>0</v>
      </c>
      <c r="BM112" s="307" t="str">
        <f t="shared" ref="BM112:BM137" si="296">IFERROR(ROUND((BL112-B112)/B112,3),"0.0%")</f>
        <v>0.0%</v>
      </c>
    </row>
    <row r="113" spans="1:65" s="233" customFormat="1" ht="12" x14ac:dyDescent="0.2">
      <c r="A113" s="245" t="s">
        <v>398</v>
      </c>
      <c r="B113" s="386"/>
      <c r="C113" s="387">
        <f t="shared" si="263"/>
        <v>0</v>
      </c>
      <c r="D113" s="386"/>
      <c r="E113" s="260" t="str">
        <f t="shared" si="246"/>
        <v>0.0%</v>
      </c>
      <c r="F113" s="261" t="str">
        <f t="shared" si="264"/>
        <v>0.0%</v>
      </c>
      <c r="G113" s="386"/>
      <c r="H113" s="260" t="str">
        <f t="shared" si="265"/>
        <v>0.0%</v>
      </c>
      <c r="I113" s="261" t="str">
        <f t="shared" si="266"/>
        <v>0.0%</v>
      </c>
      <c r="J113" s="386"/>
      <c r="K113" s="303" t="str">
        <f t="shared" si="247"/>
        <v>0.0%</v>
      </c>
      <c r="L113" s="282" t="str">
        <f t="shared" si="248"/>
        <v>0.0%</v>
      </c>
      <c r="M113" s="391">
        <f t="shared" si="267"/>
        <v>0</v>
      </c>
      <c r="N113" s="303" t="str">
        <f t="shared" si="268"/>
        <v>0.0%</v>
      </c>
      <c r="O113" s="283" t="str">
        <f t="shared" si="269"/>
        <v>0.0%</v>
      </c>
      <c r="P113" s="386"/>
      <c r="Q113" s="260" t="str">
        <f t="shared" si="270"/>
        <v>0.0%</v>
      </c>
      <c r="R113" s="261" t="str">
        <f t="shared" si="271"/>
        <v>0.0%</v>
      </c>
      <c r="S113" s="386"/>
      <c r="T113" s="260" t="str">
        <f t="shared" si="249"/>
        <v>0.0%</v>
      </c>
      <c r="U113" s="307" t="str">
        <f t="shared" si="250"/>
        <v>0.0%</v>
      </c>
      <c r="V113" s="386"/>
      <c r="W113" s="260" t="str">
        <f t="shared" si="272"/>
        <v>0.0%</v>
      </c>
      <c r="X113" s="307" t="str">
        <f t="shared" si="273"/>
        <v>0.0%</v>
      </c>
      <c r="Y113" s="391">
        <f t="shared" si="274"/>
        <v>0</v>
      </c>
      <c r="Z113" s="260" t="str">
        <f t="shared" si="275"/>
        <v>0.0%</v>
      </c>
      <c r="AA113" s="307" t="str">
        <f t="shared" si="276"/>
        <v>0.0%</v>
      </c>
      <c r="AB113" s="386"/>
      <c r="AC113" s="260" t="str">
        <f t="shared" si="251"/>
        <v>0.0%</v>
      </c>
      <c r="AD113" s="307" t="str">
        <f t="shared" si="252"/>
        <v>0.0%</v>
      </c>
      <c r="AE113" s="386"/>
      <c r="AF113" s="260" t="str">
        <f t="shared" si="253"/>
        <v>0.0%</v>
      </c>
      <c r="AG113" s="307" t="str">
        <f t="shared" si="254"/>
        <v>0.0%</v>
      </c>
      <c r="AH113" s="386"/>
      <c r="AI113" s="260" t="str">
        <f t="shared" si="277"/>
        <v>0.0%</v>
      </c>
      <c r="AJ113" s="307" t="str">
        <f t="shared" si="278"/>
        <v>0.0%</v>
      </c>
      <c r="AK113" s="391">
        <f t="shared" si="279"/>
        <v>0</v>
      </c>
      <c r="AL113" s="260" t="str">
        <f t="shared" si="255"/>
        <v>0.0%</v>
      </c>
      <c r="AM113" s="307" t="str">
        <f t="shared" si="256"/>
        <v>0.0%</v>
      </c>
      <c r="AN113" s="386"/>
      <c r="AO113" s="260" t="str">
        <f t="shared" si="280"/>
        <v>0.0%</v>
      </c>
      <c r="AP113" s="307" t="str">
        <f t="shared" si="281"/>
        <v>0.0%</v>
      </c>
      <c r="AQ113" s="386"/>
      <c r="AR113" s="260" t="str">
        <f t="shared" si="257"/>
        <v>0.0%</v>
      </c>
      <c r="AS113" s="307" t="str">
        <f t="shared" si="258"/>
        <v>0.0%</v>
      </c>
      <c r="AT113" s="386"/>
      <c r="AU113" s="260" t="str">
        <f t="shared" si="282"/>
        <v>0.0%</v>
      </c>
      <c r="AV113" s="307" t="str">
        <f t="shared" si="283"/>
        <v>0.0%</v>
      </c>
      <c r="AW113" s="391">
        <f t="shared" si="284"/>
        <v>0</v>
      </c>
      <c r="AX113" s="260" t="str">
        <f t="shared" si="259"/>
        <v>0.0%</v>
      </c>
      <c r="AY113" s="307" t="str">
        <f t="shared" si="260"/>
        <v>0.0%</v>
      </c>
      <c r="AZ113" s="391">
        <f t="shared" si="285"/>
        <v>0</v>
      </c>
      <c r="BA113" s="260" t="str">
        <f t="shared" si="261"/>
        <v>0.0%</v>
      </c>
      <c r="BB113" s="261" t="str">
        <f t="shared" si="262"/>
        <v>0.0%</v>
      </c>
      <c r="BC113" s="391">
        <f t="shared" si="286"/>
        <v>0</v>
      </c>
      <c r="BD113" s="260" t="str">
        <f t="shared" si="287"/>
        <v>0.0%</v>
      </c>
      <c r="BE113" s="261" t="str">
        <f t="shared" si="288"/>
        <v>0.0%</v>
      </c>
      <c r="BF113" s="391">
        <f t="shared" si="289"/>
        <v>0</v>
      </c>
      <c r="BG113" s="260" t="str">
        <f t="shared" si="290"/>
        <v>0.0%</v>
      </c>
      <c r="BH113" s="261" t="str">
        <f t="shared" si="291"/>
        <v>0.0%</v>
      </c>
      <c r="BI113" s="391">
        <f t="shared" si="292"/>
        <v>0</v>
      </c>
      <c r="BJ113" s="260" t="str">
        <f t="shared" si="293"/>
        <v>0.0%</v>
      </c>
      <c r="BK113" s="261" t="str">
        <f t="shared" si="294"/>
        <v>0.0%</v>
      </c>
      <c r="BL113" s="391">
        <f t="shared" si="295"/>
        <v>0</v>
      </c>
      <c r="BM113" s="307" t="str">
        <f t="shared" si="296"/>
        <v>0.0%</v>
      </c>
    </row>
    <row r="114" spans="1:65" s="233" customFormat="1" ht="12" x14ac:dyDescent="0.2">
      <c r="A114" s="242" t="s">
        <v>665</v>
      </c>
      <c r="B114" s="386"/>
      <c r="C114" s="387">
        <f t="shared" si="263"/>
        <v>0</v>
      </c>
      <c r="D114" s="386"/>
      <c r="E114" s="260" t="str">
        <f t="shared" si="246"/>
        <v>0.0%</v>
      </c>
      <c r="F114" s="261" t="str">
        <f t="shared" si="264"/>
        <v>0.0%</v>
      </c>
      <c r="G114" s="386"/>
      <c r="H114" s="260" t="str">
        <f t="shared" si="265"/>
        <v>0.0%</v>
      </c>
      <c r="I114" s="261" t="str">
        <f t="shared" si="266"/>
        <v>0.0%</v>
      </c>
      <c r="J114" s="386"/>
      <c r="K114" s="303" t="str">
        <f t="shared" si="247"/>
        <v>0.0%</v>
      </c>
      <c r="L114" s="282" t="str">
        <f t="shared" si="248"/>
        <v>0.0%</v>
      </c>
      <c r="M114" s="391">
        <f t="shared" si="267"/>
        <v>0</v>
      </c>
      <c r="N114" s="303" t="str">
        <f t="shared" si="268"/>
        <v>0.0%</v>
      </c>
      <c r="O114" s="283" t="str">
        <f t="shared" si="269"/>
        <v>0.0%</v>
      </c>
      <c r="P114" s="386"/>
      <c r="Q114" s="260" t="str">
        <f t="shared" si="270"/>
        <v>0.0%</v>
      </c>
      <c r="R114" s="261" t="str">
        <f t="shared" si="271"/>
        <v>0.0%</v>
      </c>
      <c r="S114" s="386"/>
      <c r="T114" s="260" t="str">
        <f t="shared" si="249"/>
        <v>0.0%</v>
      </c>
      <c r="U114" s="307" t="str">
        <f t="shared" si="250"/>
        <v>0.0%</v>
      </c>
      <c r="V114" s="386"/>
      <c r="W114" s="260" t="str">
        <f t="shared" si="272"/>
        <v>0.0%</v>
      </c>
      <c r="X114" s="307" t="str">
        <f t="shared" si="273"/>
        <v>0.0%</v>
      </c>
      <c r="Y114" s="391">
        <f t="shared" si="274"/>
        <v>0</v>
      </c>
      <c r="Z114" s="260" t="str">
        <f t="shared" si="275"/>
        <v>0.0%</v>
      </c>
      <c r="AA114" s="307" t="str">
        <f t="shared" si="276"/>
        <v>0.0%</v>
      </c>
      <c r="AB114" s="386"/>
      <c r="AC114" s="260" t="str">
        <f t="shared" si="251"/>
        <v>0.0%</v>
      </c>
      <c r="AD114" s="307" t="str">
        <f t="shared" si="252"/>
        <v>0.0%</v>
      </c>
      <c r="AE114" s="386"/>
      <c r="AF114" s="260" t="str">
        <f t="shared" si="253"/>
        <v>0.0%</v>
      </c>
      <c r="AG114" s="307" t="str">
        <f t="shared" si="254"/>
        <v>0.0%</v>
      </c>
      <c r="AH114" s="386"/>
      <c r="AI114" s="260" t="str">
        <f t="shared" si="277"/>
        <v>0.0%</v>
      </c>
      <c r="AJ114" s="307" t="str">
        <f t="shared" si="278"/>
        <v>0.0%</v>
      </c>
      <c r="AK114" s="391">
        <f t="shared" si="279"/>
        <v>0</v>
      </c>
      <c r="AL114" s="260" t="str">
        <f t="shared" si="255"/>
        <v>0.0%</v>
      </c>
      <c r="AM114" s="307" t="str">
        <f t="shared" si="256"/>
        <v>0.0%</v>
      </c>
      <c r="AN114" s="386"/>
      <c r="AO114" s="260" t="str">
        <f t="shared" si="280"/>
        <v>0.0%</v>
      </c>
      <c r="AP114" s="307" t="str">
        <f t="shared" si="281"/>
        <v>0.0%</v>
      </c>
      <c r="AQ114" s="386"/>
      <c r="AR114" s="260" t="str">
        <f t="shared" si="257"/>
        <v>0.0%</v>
      </c>
      <c r="AS114" s="307" t="str">
        <f t="shared" si="258"/>
        <v>0.0%</v>
      </c>
      <c r="AT114" s="386"/>
      <c r="AU114" s="260" t="str">
        <f t="shared" si="282"/>
        <v>0.0%</v>
      </c>
      <c r="AV114" s="307" t="str">
        <f t="shared" si="283"/>
        <v>0.0%</v>
      </c>
      <c r="AW114" s="391">
        <f t="shared" si="284"/>
        <v>0</v>
      </c>
      <c r="AX114" s="260" t="str">
        <f t="shared" si="259"/>
        <v>0.0%</v>
      </c>
      <c r="AY114" s="307" t="str">
        <f t="shared" si="260"/>
        <v>0.0%</v>
      </c>
      <c r="AZ114" s="391">
        <f t="shared" si="285"/>
        <v>0</v>
      </c>
      <c r="BA114" s="260" t="str">
        <f t="shared" si="261"/>
        <v>0.0%</v>
      </c>
      <c r="BB114" s="261" t="str">
        <f t="shared" si="262"/>
        <v>0.0%</v>
      </c>
      <c r="BC114" s="391">
        <f t="shared" si="286"/>
        <v>0</v>
      </c>
      <c r="BD114" s="260" t="str">
        <f t="shared" si="287"/>
        <v>0.0%</v>
      </c>
      <c r="BE114" s="261" t="str">
        <f t="shared" si="288"/>
        <v>0.0%</v>
      </c>
      <c r="BF114" s="391">
        <f t="shared" si="289"/>
        <v>0</v>
      </c>
      <c r="BG114" s="260" t="str">
        <f t="shared" si="290"/>
        <v>0.0%</v>
      </c>
      <c r="BH114" s="261" t="str">
        <f t="shared" si="291"/>
        <v>0.0%</v>
      </c>
      <c r="BI114" s="391">
        <f t="shared" si="292"/>
        <v>0</v>
      </c>
      <c r="BJ114" s="260" t="str">
        <f t="shared" si="293"/>
        <v>0.0%</v>
      </c>
      <c r="BK114" s="261" t="str">
        <f t="shared" si="294"/>
        <v>0.0%</v>
      </c>
      <c r="BL114" s="391">
        <f t="shared" si="295"/>
        <v>0</v>
      </c>
      <c r="BM114" s="307" t="str">
        <f t="shared" si="296"/>
        <v>0.0%</v>
      </c>
    </row>
    <row r="115" spans="1:65" s="233" customFormat="1" ht="12" x14ac:dyDescent="0.2">
      <c r="A115" s="245" t="s">
        <v>663</v>
      </c>
      <c r="B115" s="386"/>
      <c r="C115" s="387">
        <f t="shared" si="263"/>
        <v>0</v>
      </c>
      <c r="D115" s="386"/>
      <c r="E115" s="260" t="str">
        <f t="shared" si="246"/>
        <v>0.0%</v>
      </c>
      <c r="F115" s="261" t="str">
        <f t="shared" si="264"/>
        <v>0.0%</v>
      </c>
      <c r="G115" s="386"/>
      <c r="H115" s="260" t="str">
        <f t="shared" si="265"/>
        <v>0.0%</v>
      </c>
      <c r="I115" s="261" t="str">
        <f t="shared" si="266"/>
        <v>0.0%</v>
      </c>
      <c r="J115" s="386"/>
      <c r="K115" s="303" t="str">
        <f t="shared" si="247"/>
        <v>0.0%</v>
      </c>
      <c r="L115" s="282" t="str">
        <f t="shared" si="248"/>
        <v>0.0%</v>
      </c>
      <c r="M115" s="391">
        <f t="shared" si="267"/>
        <v>0</v>
      </c>
      <c r="N115" s="303" t="str">
        <f t="shared" si="268"/>
        <v>0.0%</v>
      </c>
      <c r="O115" s="283" t="str">
        <f t="shared" si="269"/>
        <v>0.0%</v>
      </c>
      <c r="P115" s="386"/>
      <c r="Q115" s="260" t="str">
        <f t="shared" si="270"/>
        <v>0.0%</v>
      </c>
      <c r="R115" s="261" t="str">
        <f t="shared" si="271"/>
        <v>0.0%</v>
      </c>
      <c r="S115" s="386"/>
      <c r="T115" s="260" t="str">
        <f t="shared" si="249"/>
        <v>0.0%</v>
      </c>
      <c r="U115" s="307" t="str">
        <f t="shared" si="250"/>
        <v>0.0%</v>
      </c>
      <c r="V115" s="386"/>
      <c r="W115" s="260" t="str">
        <f t="shared" si="272"/>
        <v>0.0%</v>
      </c>
      <c r="X115" s="307" t="str">
        <f t="shared" si="273"/>
        <v>0.0%</v>
      </c>
      <c r="Y115" s="391">
        <f t="shared" si="274"/>
        <v>0</v>
      </c>
      <c r="Z115" s="260" t="str">
        <f t="shared" si="275"/>
        <v>0.0%</v>
      </c>
      <c r="AA115" s="307" t="str">
        <f t="shared" si="276"/>
        <v>0.0%</v>
      </c>
      <c r="AB115" s="386"/>
      <c r="AC115" s="260" t="str">
        <f t="shared" si="251"/>
        <v>0.0%</v>
      </c>
      <c r="AD115" s="307" t="str">
        <f t="shared" si="252"/>
        <v>0.0%</v>
      </c>
      <c r="AE115" s="386"/>
      <c r="AF115" s="260" t="str">
        <f t="shared" si="253"/>
        <v>0.0%</v>
      </c>
      <c r="AG115" s="307" t="str">
        <f t="shared" si="254"/>
        <v>0.0%</v>
      </c>
      <c r="AH115" s="386"/>
      <c r="AI115" s="260" t="str">
        <f t="shared" si="277"/>
        <v>0.0%</v>
      </c>
      <c r="AJ115" s="307" t="str">
        <f t="shared" si="278"/>
        <v>0.0%</v>
      </c>
      <c r="AK115" s="391">
        <f t="shared" si="279"/>
        <v>0</v>
      </c>
      <c r="AL115" s="260" t="str">
        <f t="shared" si="255"/>
        <v>0.0%</v>
      </c>
      <c r="AM115" s="307" t="str">
        <f t="shared" si="256"/>
        <v>0.0%</v>
      </c>
      <c r="AN115" s="386"/>
      <c r="AO115" s="260" t="str">
        <f t="shared" si="280"/>
        <v>0.0%</v>
      </c>
      <c r="AP115" s="307" t="str">
        <f t="shared" si="281"/>
        <v>0.0%</v>
      </c>
      <c r="AQ115" s="386"/>
      <c r="AR115" s="260" t="str">
        <f t="shared" si="257"/>
        <v>0.0%</v>
      </c>
      <c r="AS115" s="307" t="str">
        <f t="shared" si="258"/>
        <v>0.0%</v>
      </c>
      <c r="AT115" s="386"/>
      <c r="AU115" s="260" t="str">
        <f t="shared" si="282"/>
        <v>0.0%</v>
      </c>
      <c r="AV115" s="307" t="str">
        <f t="shared" si="283"/>
        <v>0.0%</v>
      </c>
      <c r="AW115" s="391">
        <f t="shared" si="284"/>
        <v>0</v>
      </c>
      <c r="AX115" s="260" t="str">
        <f t="shared" si="259"/>
        <v>0.0%</v>
      </c>
      <c r="AY115" s="307" t="str">
        <f t="shared" si="260"/>
        <v>0.0%</v>
      </c>
      <c r="AZ115" s="391">
        <f t="shared" si="285"/>
        <v>0</v>
      </c>
      <c r="BA115" s="260" t="str">
        <f t="shared" si="261"/>
        <v>0.0%</v>
      </c>
      <c r="BB115" s="261" t="str">
        <f t="shared" si="262"/>
        <v>0.0%</v>
      </c>
      <c r="BC115" s="391">
        <f t="shared" si="286"/>
        <v>0</v>
      </c>
      <c r="BD115" s="260" t="str">
        <f t="shared" si="287"/>
        <v>0.0%</v>
      </c>
      <c r="BE115" s="261" t="str">
        <f t="shared" si="288"/>
        <v>0.0%</v>
      </c>
      <c r="BF115" s="391">
        <f t="shared" si="289"/>
        <v>0</v>
      </c>
      <c r="BG115" s="260" t="str">
        <f t="shared" si="290"/>
        <v>0.0%</v>
      </c>
      <c r="BH115" s="261" t="str">
        <f t="shared" si="291"/>
        <v>0.0%</v>
      </c>
      <c r="BI115" s="391">
        <f t="shared" si="292"/>
        <v>0</v>
      </c>
      <c r="BJ115" s="260" t="str">
        <f t="shared" si="293"/>
        <v>0.0%</v>
      </c>
      <c r="BK115" s="261" t="str">
        <f t="shared" si="294"/>
        <v>0.0%</v>
      </c>
      <c r="BL115" s="391">
        <f t="shared" si="295"/>
        <v>0</v>
      </c>
      <c r="BM115" s="307" t="str">
        <f t="shared" si="296"/>
        <v>0.0%</v>
      </c>
    </row>
    <row r="116" spans="1:65" s="233" customFormat="1" ht="12" x14ac:dyDescent="0.2">
      <c r="A116" s="242"/>
      <c r="B116" s="386"/>
      <c r="C116" s="387">
        <f t="shared" si="263"/>
        <v>0</v>
      </c>
      <c r="D116" s="386"/>
      <c r="E116" s="260" t="str">
        <f t="shared" si="246"/>
        <v>0.0%</v>
      </c>
      <c r="F116" s="261" t="str">
        <f t="shared" si="264"/>
        <v>0.0%</v>
      </c>
      <c r="G116" s="386"/>
      <c r="H116" s="260" t="str">
        <f t="shared" si="265"/>
        <v>0.0%</v>
      </c>
      <c r="I116" s="261" t="str">
        <f t="shared" si="266"/>
        <v>0.0%</v>
      </c>
      <c r="J116" s="386"/>
      <c r="K116" s="303" t="str">
        <f t="shared" si="247"/>
        <v>0.0%</v>
      </c>
      <c r="L116" s="282" t="str">
        <f t="shared" si="248"/>
        <v>0.0%</v>
      </c>
      <c r="M116" s="391">
        <f t="shared" si="267"/>
        <v>0</v>
      </c>
      <c r="N116" s="303" t="str">
        <f t="shared" si="268"/>
        <v>0.0%</v>
      </c>
      <c r="O116" s="283" t="str">
        <f t="shared" si="269"/>
        <v>0.0%</v>
      </c>
      <c r="P116" s="386"/>
      <c r="Q116" s="260" t="str">
        <f t="shared" si="270"/>
        <v>0.0%</v>
      </c>
      <c r="R116" s="261" t="str">
        <f t="shared" si="271"/>
        <v>0.0%</v>
      </c>
      <c r="S116" s="386"/>
      <c r="T116" s="260" t="str">
        <f t="shared" si="249"/>
        <v>0.0%</v>
      </c>
      <c r="U116" s="307" t="str">
        <f t="shared" si="250"/>
        <v>0.0%</v>
      </c>
      <c r="V116" s="386"/>
      <c r="W116" s="260" t="str">
        <f t="shared" si="272"/>
        <v>0.0%</v>
      </c>
      <c r="X116" s="307" t="str">
        <f t="shared" si="273"/>
        <v>0.0%</v>
      </c>
      <c r="Y116" s="391">
        <f t="shared" si="274"/>
        <v>0</v>
      </c>
      <c r="Z116" s="260" t="str">
        <f t="shared" si="275"/>
        <v>0.0%</v>
      </c>
      <c r="AA116" s="307" t="str">
        <f t="shared" si="276"/>
        <v>0.0%</v>
      </c>
      <c r="AB116" s="386"/>
      <c r="AC116" s="260" t="str">
        <f t="shared" si="251"/>
        <v>0.0%</v>
      </c>
      <c r="AD116" s="307" t="str">
        <f t="shared" si="252"/>
        <v>0.0%</v>
      </c>
      <c r="AE116" s="386"/>
      <c r="AF116" s="260" t="str">
        <f t="shared" si="253"/>
        <v>0.0%</v>
      </c>
      <c r="AG116" s="307" t="str">
        <f t="shared" si="254"/>
        <v>0.0%</v>
      </c>
      <c r="AH116" s="386"/>
      <c r="AI116" s="260" t="str">
        <f t="shared" si="277"/>
        <v>0.0%</v>
      </c>
      <c r="AJ116" s="307" t="str">
        <f t="shared" si="278"/>
        <v>0.0%</v>
      </c>
      <c r="AK116" s="391">
        <f t="shared" si="279"/>
        <v>0</v>
      </c>
      <c r="AL116" s="260" t="str">
        <f t="shared" si="255"/>
        <v>0.0%</v>
      </c>
      <c r="AM116" s="307" t="str">
        <f t="shared" si="256"/>
        <v>0.0%</v>
      </c>
      <c r="AN116" s="386"/>
      <c r="AO116" s="260" t="str">
        <f t="shared" si="280"/>
        <v>0.0%</v>
      </c>
      <c r="AP116" s="307" t="str">
        <f t="shared" si="281"/>
        <v>0.0%</v>
      </c>
      <c r="AQ116" s="386"/>
      <c r="AR116" s="260" t="str">
        <f t="shared" si="257"/>
        <v>0.0%</v>
      </c>
      <c r="AS116" s="307" t="str">
        <f t="shared" si="258"/>
        <v>0.0%</v>
      </c>
      <c r="AT116" s="386"/>
      <c r="AU116" s="260" t="str">
        <f t="shared" si="282"/>
        <v>0.0%</v>
      </c>
      <c r="AV116" s="307" t="str">
        <f t="shared" si="283"/>
        <v>0.0%</v>
      </c>
      <c r="AW116" s="391">
        <f t="shared" si="284"/>
        <v>0</v>
      </c>
      <c r="AX116" s="260" t="str">
        <f t="shared" si="259"/>
        <v>0.0%</v>
      </c>
      <c r="AY116" s="307" t="str">
        <f t="shared" si="260"/>
        <v>0.0%</v>
      </c>
      <c r="AZ116" s="391">
        <f t="shared" si="285"/>
        <v>0</v>
      </c>
      <c r="BA116" s="260" t="str">
        <f t="shared" si="261"/>
        <v>0.0%</v>
      </c>
      <c r="BB116" s="261" t="str">
        <f t="shared" si="262"/>
        <v>0.0%</v>
      </c>
      <c r="BC116" s="391">
        <f t="shared" si="286"/>
        <v>0</v>
      </c>
      <c r="BD116" s="260" t="str">
        <f t="shared" si="287"/>
        <v>0.0%</v>
      </c>
      <c r="BE116" s="261" t="str">
        <f t="shared" si="288"/>
        <v>0.0%</v>
      </c>
      <c r="BF116" s="391">
        <f t="shared" si="289"/>
        <v>0</v>
      </c>
      <c r="BG116" s="260" t="str">
        <f t="shared" si="290"/>
        <v>0.0%</v>
      </c>
      <c r="BH116" s="261" t="str">
        <f t="shared" si="291"/>
        <v>0.0%</v>
      </c>
      <c r="BI116" s="391">
        <f t="shared" si="292"/>
        <v>0</v>
      </c>
      <c r="BJ116" s="260" t="str">
        <f t="shared" si="293"/>
        <v>0.0%</v>
      </c>
      <c r="BK116" s="261" t="str">
        <f t="shared" si="294"/>
        <v>0.0%</v>
      </c>
      <c r="BL116" s="391">
        <f t="shared" si="295"/>
        <v>0</v>
      </c>
      <c r="BM116" s="307" t="str">
        <f t="shared" si="296"/>
        <v>0.0%</v>
      </c>
    </row>
    <row r="117" spans="1:65" s="233" customFormat="1" ht="12" x14ac:dyDescent="0.2">
      <c r="A117" s="245"/>
      <c r="B117" s="386"/>
      <c r="C117" s="387">
        <f t="shared" si="263"/>
        <v>0</v>
      </c>
      <c r="D117" s="386"/>
      <c r="E117" s="260" t="str">
        <f t="shared" si="246"/>
        <v>0.0%</v>
      </c>
      <c r="F117" s="261" t="str">
        <f t="shared" si="264"/>
        <v>0.0%</v>
      </c>
      <c r="G117" s="386"/>
      <c r="H117" s="260" t="str">
        <f t="shared" si="265"/>
        <v>0.0%</v>
      </c>
      <c r="I117" s="261" t="str">
        <f t="shared" si="266"/>
        <v>0.0%</v>
      </c>
      <c r="J117" s="386"/>
      <c r="K117" s="303" t="str">
        <f t="shared" si="247"/>
        <v>0.0%</v>
      </c>
      <c r="L117" s="282" t="str">
        <f t="shared" si="248"/>
        <v>0.0%</v>
      </c>
      <c r="M117" s="391">
        <f t="shared" si="267"/>
        <v>0</v>
      </c>
      <c r="N117" s="303" t="str">
        <f t="shared" si="268"/>
        <v>0.0%</v>
      </c>
      <c r="O117" s="283" t="str">
        <f t="shared" si="269"/>
        <v>0.0%</v>
      </c>
      <c r="P117" s="386"/>
      <c r="Q117" s="260" t="str">
        <f t="shared" si="270"/>
        <v>0.0%</v>
      </c>
      <c r="R117" s="261" t="str">
        <f t="shared" si="271"/>
        <v>0.0%</v>
      </c>
      <c r="S117" s="386"/>
      <c r="T117" s="260" t="str">
        <f t="shared" si="249"/>
        <v>0.0%</v>
      </c>
      <c r="U117" s="307" t="str">
        <f t="shared" si="250"/>
        <v>0.0%</v>
      </c>
      <c r="V117" s="386"/>
      <c r="W117" s="260" t="str">
        <f t="shared" si="272"/>
        <v>0.0%</v>
      </c>
      <c r="X117" s="307" t="str">
        <f t="shared" si="273"/>
        <v>0.0%</v>
      </c>
      <c r="Y117" s="391">
        <f t="shared" si="274"/>
        <v>0</v>
      </c>
      <c r="Z117" s="260" t="str">
        <f t="shared" si="275"/>
        <v>0.0%</v>
      </c>
      <c r="AA117" s="307" t="str">
        <f t="shared" si="276"/>
        <v>0.0%</v>
      </c>
      <c r="AB117" s="386"/>
      <c r="AC117" s="260" t="str">
        <f t="shared" si="251"/>
        <v>0.0%</v>
      </c>
      <c r="AD117" s="307" t="str">
        <f t="shared" si="252"/>
        <v>0.0%</v>
      </c>
      <c r="AE117" s="386"/>
      <c r="AF117" s="260" t="str">
        <f t="shared" si="253"/>
        <v>0.0%</v>
      </c>
      <c r="AG117" s="307" t="str">
        <f t="shared" si="254"/>
        <v>0.0%</v>
      </c>
      <c r="AH117" s="386"/>
      <c r="AI117" s="260" t="str">
        <f t="shared" si="277"/>
        <v>0.0%</v>
      </c>
      <c r="AJ117" s="307" t="str">
        <f t="shared" si="278"/>
        <v>0.0%</v>
      </c>
      <c r="AK117" s="391">
        <f t="shared" si="279"/>
        <v>0</v>
      </c>
      <c r="AL117" s="260" t="str">
        <f t="shared" si="255"/>
        <v>0.0%</v>
      </c>
      <c r="AM117" s="307" t="str">
        <f t="shared" si="256"/>
        <v>0.0%</v>
      </c>
      <c r="AN117" s="386"/>
      <c r="AO117" s="260" t="str">
        <f t="shared" si="280"/>
        <v>0.0%</v>
      </c>
      <c r="AP117" s="307" t="str">
        <f t="shared" si="281"/>
        <v>0.0%</v>
      </c>
      <c r="AQ117" s="386"/>
      <c r="AR117" s="260" t="str">
        <f t="shared" si="257"/>
        <v>0.0%</v>
      </c>
      <c r="AS117" s="307" t="str">
        <f t="shared" si="258"/>
        <v>0.0%</v>
      </c>
      <c r="AT117" s="386"/>
      <c r="AU117" s="260" t="str">
        <f t="shared" si="282"/>
        <v>0.0%</v>
      </c>
      <c r="AV117" s="307" t="str">
        <f t="shared" si="283"/>
        <v>0.0%</v>
      </c>
      <c r="AW117" s="391">
        <f t="shared" si="284"/>
        <v>0</v>
      </c>
      <c r="AX117" s="260" t="str">
        <f t="shared" si="259"/>
        <v>0.0%</v>
      </c>
      <c r="AY117" s="307" t="str">
        <f t="shared" si="260"/>
        <v>0.0%</v>
      </c>
      <c r="AZ117" s="391">
        <f t="shared" si="285"/>
        <v>0</v>
      </c>
      <c r="BA117" s="260" t="str">
        <f t="shared" si="261"/>
        <v>0.0%</v>
      </c>
      <c r="BB117" s="261" t="str">
        <f t="shared" si="262"/>
        <v>0.0%</v>
      </c>
      <c r="BC117" s="391">
        <f t="shared" si="286"/>
        <v>0</v>
      </c>
      <c r="BD117" s="260" t="str">
        <f t="shared" si="287"/>
        <v>0.0%</v>
      </c>
      <c r="BE117" s="261" t="str">
        <f t="shared" si="288"/>
        <v>0.0%</v>
      </c>
      <c r="BF117" s="391">
        <f t="shared" si="289"/>
        <v>0</v>
      </c>
      <c r="BG117" s="260" t="str">
        <f t="shared" si="290"/>
        <v>0.0%</v>
      </c>
      <c r="BH117" s="261" t="str">
        <f t="shared" si="291"/>
        <v>0.0%</v>
      </c>
      <c r="BI117" s="391">
        <f t="shared" si="292"/>
        <v>0</v>
      </c>
      <c r="BJ117" s="260" t="str">
        <f t="shared" si="293"/>
        <v>0.0%</v>
      </c>
      <c r="BK117" s="261" t="str">
        <f t="shared" si="294"/>
        <v>0.0%</v>
      </c>
      <c r="BL117" s="391">
        <f t="shared" si="295"/>
        <v>0</v>
      </c>
      <c r="BM117" s="307" t="str">
        <f t="shared" si="296"/>
        <v>0.0%</v>
      </c>
    </row>
    <row r="118" spans="1:65" s="233" customFormat="1" ht="12" x14ac:dyDescent="0.2">
      <c r="A118" s="242"/>
      <c r="B118" s="386"/>
      <c r="C118" s="387">
        <f t="shared" si="263"/>
        <v>0</v>
      </c>
      <c r="D118" s="386"/>
      <c r="E118" s="260" t="str">
        <f t="shared" si="246"/>
        <v>0.0%</v>
      </c>
      <c r="F118" s="261" t="str">
        <f t="shared" si="264"/>
        <v>0.0%</v>
      </c>
      <c r="G118" s="386"/>
      <c r="H118" s="260" t="str">
        <f t="shared" si="265"/>
        <v>0.0%</v>
      </c>
      <c r="I118" s="261" t="str">
        <f t="shared" si="266"/>
        <v>0.0%</v>
      </c>
      <c r="J118" s="386"/>
      <c r="K118" s="303" t="str">
        <f t="shared" si="247"/>
        <v>0.0%</v>
      </c>
      <c r="L118" s="282" t="str">
        <f t="shared" si="248"/>
        <v>0.0%</v>
      </c>
      <c r="M118" s="391">
        <f t="shared" si="267"/>
        <v>0</v>
      </c>
      <c r="N118" s="303" t="str">
        <f t="shared" si="268"/>
        <v>0.0%</v>
      </c>
      <c r="O118" s="283" t="str">
        <f t="shared" si="269"/>
        <v>0.0%</v>
      </c>
      <c r="P118" s="386"/>
      <c r="Q118" s="260" t="str">
        <f t="shared" si="270"/>
        <v>0.0%</v>
      </c>
      <c r="R118" s="261" t="str">
        <f t="shared" si="271"/>
        <v>0.0%</v>
      </c>
      <c r="S118" s="386"/>
      <c r="T118" s="260" t="str">
        <f t="shared" si="249"/>
        <v>0.0%</v>
      </c>
      <c r="U118" s="307" t="str">
        <f t="shared" si="250"/>
        <v>0.0%</v>
      </c>
      <c r="V118" s="386"/>
      <c r="W118" s="260" t="str">
        <f t="shared" si="272"/>
        <v>0.0%</v>
      </c>
      <c r="X118" s="307" t="str">
        <f t="shared" si="273"/>
        <v>0.0%</v>
      </c>
      <c r="Y118" s="391">
        <f t="shared" si="274"/>
        <v>0</v>
      </c>
      <c r="Z118" s="260" t="str">
        <f t="shared" si="275"/>
        <v>0.0%</v>
      </c>
      <c r="AA118" s="307" t="str">
        <f t="shared" si="276"/>
        <v>0.0%</v>
      </c>
      <c r="AB118" s="386"/>
      <c r="AC118" s="260" t="str">
        <f t="shared" si="251"/>
        <v>0.0%</v>
      </c>
      <c r="AD118" s="307" t="str">
        <f t="shared" si="252"/>
        <v>0.0%</v>
      </c>
      <c r="AE118" s="386"/>
      <c r="AF118" s="260" t="str">
        <f t="shared" si="253"/>
        <v>0.0%</v>
      </c>
      <c r="AG118" s="307" t="str">
        <f t="shared" si="254"/>
        <v>0.0%</v>
      </c>
      <c r="AH118" s="386"/>
      <c r="AI118" s="260" t="str">
        <f t="shared" si="277"/>
        <v>0.0%</v>
      </c>
      <c r="AJ118" s="307" t="str">
        <f t="shared" si="278"/>
        <v>0.0%</v>
      </c>
      <c r="AK118" s="391">
        <f t="shared" si="279"/>
        <v>0</v>
      </c>
      <c r="AL118" s="260" t="str">
        <f t="shared" si="255"/>
        <v>0.0%</v>
      </c>
      <c r="AM118" s="307" t="str">
        <f t="shared" si="256"/>
        <v>0.0%</v>
      </c>
      <c r="AN118" s="386"/>
      <c r="AO118" s="260" t="str">
        <f t="shared" si="280"/>
        <v>0.0%</v>
      </c>
      <c r="AP118" s="307" t="str">
        <f t="shared" si="281"/>
        <v>0.0%</v>
      </c>
      <c r="AQ118" s="386"/>
      <c r="AR118" s="260" t="str">
        <f t="shared" si="257"/>
        <v>0.0%</v>
      </c>
      <c r="AS118" s="307" t="str">
        <f t="shared" si="258"/>
        <v>0.0%</v>
      </c>
      <c r="AT118" s="386"/>
      <c r="AU118" s="260" t="str">
        <f t="shared" si="282"/>
        <v>0.0%</v>
      </c>
      <c r="AV118" s="307" t="str">
        <f t="shared" si="283"/>
        <v>0.0%</v>
      </c>
      <c r="AW118" s="391">
        <f t="shared" si="284"/>
        <v>0</v>
      </c>
      <c r="AX118" s="260" t="str">
        <f t="shared" si="259"/>
        <v>0.0%</v>
      </c>
      <c r="AY118" s="307" t="str">
        <f t="shared" si="260"/>
        <v>0.0%</v>
      </c>
      <c r="AZ118" s="391">
        <f t="shared" si="285"/>
        <v>0</v>
      </c>
      <c r="BA118" s="260" t="str">
        <f t="shared" si="261"/>
        <v>0.0%</v>
      </c>
      <c r="BB118" s="261" t="str">
        <f t="shared" si="262"/>
        <v>0.0%</v>
      </c>
      <c r="BC118" s="391">
        <f t="shared" si="286"/>
        <v>0</v>
      </c>
      <c r="BD118" s="260" t="str">
        <f t="shared" si="287"/>
        <v>0.0%</v>
      </c>
      <c r="BE118" s="261" t="str">
        <f t="shared" si="288"/>
        <v>0.0%</v>
      </c>
      <c r="BF118" s="391">
        <f t="shared" si="289"/>
        <v>0</v>
      </c>
      <c r="BG118" s="260" t="str">
        <f t="shared" si="290"/>
        <v>0.0%</v>
      </c>
      <c r="BH118" s="261" t="str">
        <f t="shared" si="291"/>
        <v>0.0%</v>
      </c>
      <c r="BI118" s="391">
        <f t="shared" si="292"/>
        <v>0</v>
      </c>
      <c r="BJ118" s="260" t="str">
        <f t="shared" si="293"/>
        <v>0.0%</v>
      </c>
      <c r="BK118" s="261" t="str">
        <f t="shared" si="294"/>
        <v>0.0%</v>
      </c>
      <c r="BL118" s="391">
        <f t="shared" si="295"/>
        <v>0</v>
      </c>
      <c r="BM118" s="307" t="str">
        <f t="shared" si="296"/>
        <v>0.0%</v>
      </c>
    </row>
    <row r="119" spans="1:65" s="233" customFormat="1" ht="12" x14ac:dyDescent="0.2">
      <c r="A119" s="245" t="s">
        <v>253</v>
      </c>
      <c r="B119" s="386"/>
      <c r="C119" s="387">
        <f t="shared" si="263"/>
        <v>0</v>
      </c>
      <c r="D119" s="386"/>
      <c r="E119" s="260" t="str">
        <f t="shared" si="246"/>
        <v>0.0%</v>
      </c>
      <c r="F119" s="261" t="str">
        <f t="shared" si="264"/>
        <v>0.0%</v>
      </c>
      <c r="G119" s="386"/>
      <c r="H119" s="260" t="str">
        <f t="shared" si="265"/>
        <v>0.0%</v>
      </c>
      <c r="I119" s="261" t="str">
        <f t="shared" si="266"/>
        <v>0.0%</v>
      </c>
      <c r="J119" s="386"/>
      <c r="K119" s="303" t="str">
        <f t="shared" si="247"/>
        <v>0.0%</v>
      </c>
      <c r="L119" s="282" t="str">
        <f t="shared" si="248"/>
        <v>0.0%</v>
      </c>
      <c r="M119" s="391">
        <f t="shared" si="267"/>
        <v>0</v>
      </c>
      <c r="N119" s="303" t="str">
        <f t="shared" si="268"/>
        <v>0.0%</v>
      </c>
      <c r="O119" s="283" t="str">
        <f t="shared" si="269"/>
        <v>0.0%</v>
      </c>
      <c r="P119" s="386"/>
      <c r="Q119" s="260" t="str">
        <f t="shared" si="270"/>
        <v>0.0%</v>
      </c>
      <c r="R119" s="261" t="str">
        <f t="shared" si="271"/>
        <v>0.0%</v>
      </c>
      <c r="S119" s="386"/>
      <c r="T119" s="260" t="str">
        <f t="shared" si="249"/>
        <v>0.0%</v>
      </c>
      <c r="U119" s="307" t="str">
        <f t="shared" si="250"/>
        <v>0.0%</v>
      </c>
      <c r="V119" s="386"/>
      <c r="W119" s="260" t="str">
        <f t="shared" si="272"/>
        <v>0.0%</v>
      </c>
      <c r="X119" s="307" t="str">
        <f t="shared" si="273"/>
        <v>0.0%</v>
      </c>
      <c r="Y119" s="391">
        <f t="shared" si="274"/>
        <v>0</v>
      </c>
      <c r="Z119" s="260" t="str">
        <f t="shared" si="275"/>
        <v>0.0%</v>
      </c>
      <c r="AA119" s="307" t="str">
        <f t="shared" si="276"/>
        <v>0.0%</v>
      </c>
      <c r="AB119" s="386"/>
      <c r="AC119" s="260" t="str">
        <f t="shared" si="251"/>
        <v>0.0%</v>
      </c>
      <c r="AD119" s="307" t="str">
        <f t="shared" si="252"/>
        <v>0.0%</v>
      </c>
      <c r="AE119" s="386"/>
      <c r="AF119" s="260" t="str">
        <f t="shared" si="253"/>
        <v>0.0%</v>
      </c>
      <c r="AG119" s="307" t="str">
        <f t="shared" si="254"/>
        <v>0.0%</v>
      </c>
      <c r="AH119" s="386"/>
      <c r="AI119" s="260" t="str">
        <f t="shared" si="277"/>
        <v>0.0%</v>
      </c>
      <c r="AJ119" s="307" t="str">
        <f t="shared" si="278"/>
        <v>0.0%</v>
      </c>
      <c r="AK119" s="391">
        <f t="shared" si="279"/>
        <v>0</v>
      </c>
      <c r="AL119" s="260" t="str">
        <f t="shared" si="255"/>
        <v>0.0%</v>
      </c>
      <c r="AM119" s="307" t="str">
        <f t="shared" si="256"/>
        <v>0.0%</v>
      </c>
      <c r="AN119" s="386"/>
      <c r="AO119" s="260" t="str">
        <f t="shared" si="280"/>
        <v>0.0%</v>
      </c>
      <c r="AP119" s="307" t="str">
        <f t="shared" si="281"/>
        <v>0.0%</v>
      </c>
      <c r="AQ119" s="386"/>
      <c r="AR119" s="260" t="str">
        <f t="shared" si="257"/>
        <v>0.0%</v>
      </c>
      <c r="AS119" s="307" t="str">
        <f t="shared" si="258"/>
        <v>0.0%</v>
      </c>
      <c r="AT119" s="386"/>
      <c r="AU119" s="260" t="str">
        <f t="shared" si="282"/>
        <v>0.0%</v>
      </c>
      <c r="AV119" s="307" t="str">
        <f t="shared" si="283"/>
        <v>0.0%</v>
      </c>
      <c r="AW119" s="391">
        <f t="shared" si="284"/>
        <v>0</v>
      </c>
      <c r="AX119" s="260" t="str">
        <f t="shared" si="259"/>
        <v>0.0%</v>
      </c>
      <c r="AY119" s="307" t="str">
        <f t="shared" si="260"/>
        <v>0.0%</v>
      </c>
      <c r="AZ119" s="391">
        <f t="shared" si="285"/>
        <v>0</v>
      </c>
      <c r="BA119" s="260" t="str">
        <f t="shared" si="261"/>
        <v>0.0%</v>
      </c>
      <c r="BB119" s="261" t="str">
        <f t="shared" si="262"/>
        <v>0.0%</v>
      </c>
      <c r="BC119" s="391">
        <f t="shared" si="286"/>
        <v>0</v>
      </c>
      <c r="BD119" s="260" t="str">
        <f t="shared" si="287"/>
        <v>0.0%</v>
      </c>
      <c r="BE119" s="261" t="str">
        <f t="shared" si="288"/>
        <v>0.0%</v>
      </c>
      <c r="BF119" s="391">
        <f t="shared" si="289"/>
        <v>0</v>
      </c>
      <c r="BG119" s="260" t="str">
        <f t="shared" si="290"/>
        <v>0.0%</v>
      </c>
      <c r="BH119" s="261" t="str">
        <f t="shared" si="291"/>
        <v>0.0%</v>
      </c>
      <c r="BI119" s="391">
        <f t="shared" si="292"/>
        <v>0</v>
      </c>
      <c r="BJ119" s="260" t="str">
        <f t="shared" si="293"/>
        <v>0.0%</v>
      </c>
      <c r="BK119" s="261" t="str">
        <f t="shared" si="294"/>
        <v>0.0%</v>
      </c>
      <c r="BL119" s="391">
        <f t="shared" si="295"/>
        <v>0</v>
      </c>
      <c r="BM119" s="307" t="str">
        <f t="shared" si="296"/>
        <v>0.0%</v>
      </c>
    </row>
    <row r="120" spans="1:65" s="233" customFormat="1" ht="12" x14ac:dyDescent="0.2">
      <c r="A120" s="242" t="s">
        <v>265</v>
      </c>
      <c r="B120" s="386"/>
      <c r="C120" s="387">
        <f t="shared" si="263"/>
        <v>0</v>
      </c>
      <c r="D120" s="386"/>
      <c r="E120" s="260" t="str">
        <f t="shared" si="246"/>
        <v>0.0%</v>
      </c>
      <c r="F120" s="261" t="str">
        <f t="shared" si="264"/>
        <v>0.0%</v>
      </c>
      <c r="G120" s="386"/>
      <c r="H120" s="260" t="str">
        <f t="shared" si="265"/>
        <v>0.0%</v>
      </c>
      <c r="I120" s="261" t="str">
        <f t="shared" si="266"/>
        <v>0.0%</v>
      </c>
      <c r="J120" s="386"/>
      <c r="K120" s="303" t="str">
        <f t="shared" si="247"/>
        <v>0.0%</v>
      </c>
      <c r="L120" s="282" t="str">
        <f t="shared" si="248"/>
        <v>0.0%</v>
      </c>
      <c r="M120" s="391">
        <f t="shared" si="267"/>
        <v>0</v>
      </c>
      <c r="N120" s="303" t="str">
        <f t="shared" si="268"/>
        <v>0.0%</v>
      </c>
      <c r="O120" s="283" t="str">
        <f t="shared" si="269"/>
        <v>0.0%</v>
      </c>
      <c r="P120" s="386"/>
      <c r="Q120" s="260" t="str">
        <f t="shared" si="270"/>
        <v>0.0%</v>
      </c>
      <c r="R120" s="261" t="str">
        <f t="shared" si="271"/>
        <v>0.0%</v>
      </c>
      <c r="S120" s="386"/>
      <c r="T120" s="260" t="str">
        <f t="shared" si="249"/>
        <v>0.0%</v>
      </c>
      <c r="U120" s="307" t="str">
        <f t="shared" si="250"/>
        <v>0.0%</v>
      </c>
      <c r="V120" s="386"/>
      <c r="W120" s="260" t="str">
        <f t="shared" si="272"/>
        <v>0.0%</v>
      </c>
      <c r="X120" s="307" t="str">
        <f t="shared" si="273"/>
        <v>0.0%</v>
      </c>
      <c r="Y120" s="391">
        <f t="shared" si="274"/>
        <v>0</v>
      </c>
      <c r="Z120" s="260" t="str">
        <f t="shared" si="275"/>
        <v>0.0%</v>
      </c>
      <c r="AA120" s="307" t="str">
        <f t="shared" si="276"/>
        <v>0.0%</v>
      </c>
      <c r="AB120" s="386"/>
      <c r="AC120" s="260" t="str">
        <f t="shared" si="251"/>
        <v>0.0%</v>
      </c>
      <c r="AD120" s="307" t="str">
        <f t="shared" si="252"/>
        <v>0.0%</v>
      </c>
      <c r="AE120" s="386"/>
      <c r="AF120" s="260" t="str">
        <f t="shared" si="253"/>
        <v>0.0%</v>
      </c>
      <c r="AG120" s="307" t="str">
        <f t="shared" si="254"/>
        <v>0.0%</v>
      </c>
      <c r="AH120" s="386"/>
      <c r="AI120" s="260" t="str">
        <f t="shared" si="277"/>
        <v>0.0%</v>
      </c>
      <c r="AJ120" s="307" t="str">
        <f t="shared" si="278"/>
        <v>0.0%</v>
      </c>
      <c r="AK120" s="391">
        <f t="shared" si="279"/>
        <v>0</v>
      </c>
      <c r="AL120" s="260" t="str">
        <f t="shared" si="255"/>
        <v>0.0%</v>
      </c>
      <c r="AM120" s="307" t="str">
        <f t="shared" si="256"/>
        <v>0.0%</v>
      </c>
      <c r="AN120" s="386"/>
      <c r="AO120" s="260" t="str">
        <f t="shared" si="280"/>
        <v>0.0%</v>
      </c>
      <c r="AP120" s="307" t="str">
        <f t="shared" si="281"/>
        <v>0.0%</v>
      </c>
      <c r="AQ120" s="386"/>
      <c r="AR120" s="260" t="str">
        <f t="shared" si="257"/>
        <v>0.0%</v>
      </c>
      <c r="AS120" s="307" t="str">
        <f t="shared" si="258"/>
        <v>0.0%</v>
      </c>
      <c r="AT120" s="386"/>
      <c r="AU120" s="260" t="str">
        <f t="shared" si="282"/>
        <v>0.0%</v>
      </c>
      <c r="AV120" s="307" t="str">
        <f t="shared" si="283"/>
        <v>0.0%</v>
      </c>
      <c r="AW120" s="391">
        <f t="shared" si="284"/>
        <v>0</v>
      </c>
      <c r="AX120" s="260" t="str">
        <f t="shared" si="259"/>
        <v>0.0%</v>
      </c>
      <c r="AY120" s="307" t="str">
        <f t="shared" si="260"/>
        <v>0.0%</v>
      </c>
      <c r="AZ120" s="391">
        <f t="shared" si="285"/>
        <v>0</v>
      </c>
      <c r="BA120" s="260" t="str">
        <f t="shared" si="261"/>
        <v>0.0%</v>
      </c>
      <c r="BB120" s="261" t="str">
        <f t="shared" si="262"/>
        <v>0.0%</v>
      </c>
      <c r="BC120" s="391">
        <f t="shared" si="286"/>
        <v>0</v>
      </c>
      <c r="BD120" s="260" t="str">
        <f t="shared" si="287"/>
        <v>0.0%</v>
      </c>
      <c r="BE120" s="261" t="str">
        <f t="shared" si="288"/>
        <v>0.0%</v>
      </c>
      <c r="BF120" s="391">
        <f t="shared" si="289"/>
        <v>0</v>
      </c>
      <c r="BG120" s="260" t="str">
        <f t="shared" si="290"/>
        <v>0.0%</v>
      </c>
      <c r="BH120" s="261" t="str">
        <f t="shared" si="291"/>
        <v>0.0%</v>
      </c>
      <c r="BI120" s="391">
        <f t="shared" si="292"/>
        <v>0</v>
      </c>
      <c r="BJ120" s="260" t="str">
        <f t="shared" si="293"/>
        <v>0.0%</v>
      </c>
      <c r="BK120" s="261" t="str">
        <f t="shared" si="294"/>
        <v>0.0%</v>
      </c>
      <c r="BL120" s="391">
        <f t="shared" si="295"/>
        <v>0</v>
      </c>
      <c r="BM120" s="307" t="str">
        <f t="shared" si="296"/>
        <v>0.0%</v>
      </c>
    </row>
    <row r="121" spans="1:65" s="233" customFormat="1" ht="12" x14ac:dyDescent="0.2">
      <c r="A121" s="245" t="s">
        <v>266</v>
      </c>
      <c r="B121" s="386"/>
      <c r="C121" s="387">
        <f t="shared" si="263"/>
        <v>0</v>
      </c>
      <c r="D121" s="386"/>
      <c r="E121" s="260" t="str">
        <f t="shared" si="246"/>
        <v>0.0%</v>
      </c>
      <c r="F121" s="261" t="str">
        <f t="shared" si="264"/>
        <v>0.0%</v>
      </c>
      <c r="G121" s="386"/>
      <c r="H121" s="260" t="str">
        <f t="shared" si="265"/>
        <v>0.0%</v>
      </c>
      <c r="I121" s="261" t="str">
        <f t="shared" si="266"/>
        <v>0.0%</v>
      </c>
      <c r="J121" s="386"/>
      <c r="K121" s="303" t="str">
        <f t="shared" si="247"/>
        <v>0.0%</v>
      </c>
      <c r="L121" s="282" t="str">
        <f t="shared" si="248"/>
        <v>0.0%</v>
      </c>
      <c r="M121" s="391">
        <f t="shared" si="267"/>
        <v>0</v>
      </c>
      <c r="N121" s="303" t="str">
        <f t="shared" si="268"/>
        <v>0.0%</v>
      </c>
      <c r="O121" s="283" t="str">
        <f t="shared" si="269"/>
        <v>0.0%</v>
      </c>
      <c r="P121" s="386"/>
      <c r="Q121" s="260" t="str">
        <f t="shared" si="270"/>
        <v>0.0%</v>
      </c>
      <c r="R121" s="261" t="str">
        <f t="shared" si="271"/>
        <v>0.0%</v>
      </c>
      <c r="S121" s="386"/>
      <c r="T121" s="260" t="str">
        <f t="shared" si="249"/>
        <v>0.0%</v>
      </c>
      <c r="U121" s="307" t="str">
        <f t="shared" si="250"/>
        <v>0.0%</v>
      </c>
      <c r="V121" s="386"/>
      <c r="W121" s="260" t="str">
        <f t="shared" si="272"/>
        <v>0.0%</v>
      </c>
      <c r="X121" s="307" t="str">
        <f t="shared" si="273"/>
        <v>0.0%</v>
      </c>
      <c r="Y121" s="391">
        <f t="shared" si="274"/>
        <v>0</v>
      </c>
      <c r="Z121" s="260" t="str">
        <f t="shared" si="275"/>
        <v>0.0%</v>
      </c>
      <c r="AA121" s="307" t="str">
        <f t="shared" si="276"/>
        <v>0.0%</v>
      </c>
      <c r="AB121" s="386"/>
      <c r="AC121" s="260" t="str">
        <f t="shared" si="251"/>
        <v>0.0%</v>
      </c>
      <c r="AD121" s="307" t="str">
        <f t="shared" si="252"/>
        <v>0.0%</v>
      </c>
      <c r="AE121" s="386"/>
      <c r="AF121" s="260" t="str">
        <f t="shared" si="253"/>
        <v>0.0%</v>
      </c>
      <c r="AG121" s="307" t="str">
        <f t="shared" si="254"/>
        <v>0.0%</v>
      </c>
      <c r="AH121" s="386"/>
      <c r="AI121" s="260" t="str">
        <f t="shared" si="277"/>
        <v>0.0%</v>
      </c>
      <c r="AJ121" s="307" t="str">
        <f t="shared" si="278"/>
        <v>0.0%</v>
      </c>
      <c r="AK121" s="391">
        <f t="shared" si="279"/>
        <v>0</v>
      </c>
      <c r="AL121" s="260" t="str">
        <f t="shared" si="255"/>
        <v>0.0%</v>
      </c>
      <c r="AM121" s="307" t="str">
        <f t="shared" si="256"/>
        <v>0.0%</v>
      </c>
      <c r="AN121" s="386"/>
      <c r="AO121" s="260" t="str">
        <f t="shared" si="280"/>
        <v>0.0%</v>
      </c>
      <c r="AP121" s="307" t="str">
        <f t="shared" si="281"/>
        <v>0.0%</v>
      </c>
      <c r="AQ121" s="386"/>
      <c r="AR121" s="260" t="str">
        <f t="shared" si="257"/>
        <v>0.0%</v>
      </c>
      <c r="AS121" s="307" t="str">
        <f t="shared" si="258"/>
        <v>0.0%</v>
      </c>
      <c r="AT121" s="386"/>
      <c r="AU121" s="260" t="str">
        <f t="shared" si="282"/>
        <v>0.0%</v>
      </c>
      <c r="AV121" s="307" t="str">
        <f t="shared" si="283"/>
        <v>0.0%</v>
      </c>
      <c r="AW121" s="391">
        <f t="shared" si="284"/>
        <v>0</v>
      </c>
      <c r="AX121" s="260" t="str">
        <f t="shared" si="259"/>
        <v>0.0%</v>
      </c>
      <c r="AY121" s="307" t="str">
        <f t="shared" si="260"/>
        <v>0.0%</v>
      </c>
      <c r="AZ121" s="391">
        <f t="shared" si="285"/>
        <v>0</v>
      </c>
      <c r="BA121" s="260" t="str">
        <f t="shared" si="261"/>
        <v>0.0%</v>
      </c>
      <c r="BB121" s="261" t="str">
        <f t="shared" si="262"/>
        <v>0.0%</v>
      </c>
      <c r="BC121" s="391">
        <f t="shared" si="286"/>
        <v>0</v>
      </c>
      <c r="BD121" s="260" t="str">
        <f t="shared" si="287"/>
        <v>0.0%</v>
      </c>
      <c r="BE121" s="261" t="str">
        <f t="shared" si="288"/>
        <v>0.0%</v>
      </c>
      <c r="BF121" s="391">
        <f t="shared" si="289"/>
        <v>0</v>
      </c>
      <c r="BG121" s="260" t="str">
        <f t="shared" si="290"/>
        <v>0.0%</v>
      </c>
      <c r="BH121" s="261" t="str">
        <f t="shared" si="291"/>
        <v>0.0%</v>
      </c>
      <c r="BI121" s="391">
        <f t="shared" si="292"/>
        <v>0</v>
      </c>
      <c r="BJ121" s="260" t="str">
        <f t="shared" si="293"/>
        <v>0.0%</v>
      </c>
      <c r="BK121" s="261" t="str">
        <f t="shared" si="294"/>
        <v>0.0%</v>
      </c>
      <c r="BL121" s="391">
        <f t="shared" si="295"/>
        <v>0</v>
      </c>
      <c r="BM121" s="307" t="str">
        <f t="shared" si="296"/>
        <v>0.0%</v>
      </c>
    </row>
    <row r="122" spans="1:65" s="233" customFormat="1" ht="12" x14ac:dyDescent="0.2">
      <c r="A122" s="242"/>
      <c r="B122" s="386"/>
      <c r="C122" s="387">
        <f t="shared" si="263"/>
        <v>0</v>
      </c>
      <c r="D122" s="386"/>
      <c r="E122" s="260" t="str">
        <f t="shared" si="246"/>
        <v>0.0%</v>
      </c>
      <c r="F122" s="261" t="str">
        <f t="shared" si="264"/>
        <v>0.0%</v>
      </c>
      <c r="G122" s="386"/>
      <c r="H122" s="260" t="str">
        <f t="shared" si="265"/>
        <v>0.0%</v>
      </c>
      <c r="I122" s="261" t="str">
        <f t="shared" si="266"/>
        <v>0.0%</v>
      </c>
      <c r="J122" s="386"/>
      <c r="K122" s="303" t="str">
        <f t="shared" si="247"/>
        <v>0.0%</v>
      </c>
      <c r="L122" s="282" t="str">
        <f t="shared" si="248"/>
        <v>0.0%</v>
      </c>
      <c r="M122" s="391">
        <f t="shared" si="267"/>
        <v>0</v>
      </c>
      <c r="N122" s="303" t="str">
        <f t="shared" si="268"/>
        <v>0.0%</v>
      </c>
      <c r="O122" s="283" t="str">
        <f t="shared" si="269"/>
        <v>0.0%</v>
      </c>
      <c r="P122" s="386"/>
      <c r="Q122" s="260" t="str">
        <f t="shared" si="270"/>
        <v>0.0%</v>
      </c>
      <c r="R122" s="261" t="str">
        <f t="shared" si="271"/>
        <v>0.0%</v>
      </c>
      <c r="S122" s="386"/>
      <c r="T122" s="260" t="str">
        <f t="shared" si="249"/>
        <v>0.0%</v>
      </c>
      <c r="U122" s="307" t="str">
        <f t="shared" si="250"/>
        <v>0.0%</v>
      </c>
      <c r="V122" s="386"/>
      <c r="W122" s="260" t="str">
        <f t="shared" si="272"/>
        <v>0.0%</v>
      </c>
      <c r="X122" s="307" t="str">
        <f t="shared" si="273"/>
        <v>0.0%</v>
      </c>
      <c r="Y122" s="391">
        <f t="shared" si="274"/>
        <v>0</v>
      </c>
      <c r="Z122" s="260" t="str">
        <f t="shared" si="275"/>
        <v>0.0%</v>
      </c>
      <c r="AA122" s="307" t="str">
        <f t="shared" si="276"/>
        <v>0.0%</v>
      </c>
      <c r="AB122" s="386"/>
      <c r="AC122" s="260" t="str">
        <f t="shared" si="251"/>
        <v>0.0%</v>
      </c>
      <c r="AD122" s="307" t="str">
        <f t="shared" si="252"/>
        <v>0.0%</v>
      </c>
      <c r="AE122" s="386"/>
      <c r="AF122" s="260" t="str">
        <f t="shared" si="253"/>
        <v>0.0%</v>
      </c>
      <c r="AG122" s="307" t="str">
        <f t="shared" si="254"/>
        <v>0.0%</v>
      </c>
      <c r="AH122" s="386"/>
      <c r="AI122" s="260" t="str">
        <f t="shared" si="277"/>
        <v>0.0%</v>
      </c>
      <c r="AJ122" s="307" t="str">
        <f t="shared" si="278"/>
        <v>0.0%</v>
      </c>
      <c r="AK122" s="391">
        <f t="shared" si="279"/>
        <v>0</v>
      </c>
      <c r="AL122" s="260" t="str">
        <f t="shared" si="255"/>
        <v>0.0%</v>
      </c>
      <c r="AM122" s="307" t="str">
        <f t="shared" si="256"/>
        <v>0.0%</v>
      </c>
      <c r="AN122" s="386"/>
      <c r="AO122" s="260" t="str">
        <f t="shared" si="280"/>
        <v>0.0%</v>
      </c>
      <c r="AP122" s="307" t="str">
        <f t="shared" si="281"/>
        <v>0.0%</v>
      </c>
      <c r="AQ122" s="386"/>
      <c r="AR122" s="260" t="str">
        <f t="shared" si="257"/>
        <v>0.0%</v>
      </c>
      <c r="AS122" s="307" t="str">
        <f t="shared" si="258"/>
        <v>0.0%</v>
      </c>
      <c r="AT122" s="386"/>
      <c r="AU122" s="260" t="str">
        <f t="shared" si="282"/>
        <v>0.0%</v>
      </c>
      <c r="AV122" s="307" t="str">
        <f t="shared" si="283"/>
        <v>0.0%</v>
      </c>
      <c r="AW122" s="391">
        <f t="shared" si="284"/>
        <v>0</v>
      </c>
      <c r="AX122" s="260" t="str">
        <f t="shared" si="259"/>
        <v>0.0%</v>
      </c>
      <c r="AY122" s="307" t="str">
        <f t="shared" si="260"/>
        <v>0.0%</v>
      </c>
      <c r="AZ122" s="391">
        <f t="shared" si="285"/>
        <v>0</v>
      </c>
      <c r="BA122" s="260" t="str">
        <f t="shared" si="261"/>
        <v>0.0%</v>
      </c>
      <c r="BB122" s="261" t="str">
        <f t="shared" si="262"/>
        <v>0.0%</v>
      </c>
      <c r="BC122" s="391">
        <f t="shared" si="286"/>
        <v>0</v>
      </c>
      <c r="BD122" s="260" t="str">
        <f t="shared" si="287"/>
        <v>0.0%</v>
      </c>
      <c r="BE122" s="261" t="str">
        <f t="shared" si="288"/>
        <v>0.0%</v>
      </c>
      <c r="BF122" s="391">
        <f t="shared" si="289"/>
        <v>0</v>
      </c>
      <c r="BG122" s="260" t="str">
        <f t="shared" si="290"/>
        <v>0.0%</v>
      </c>
      <c r="BH122" s="261" t="str">
        <f t="shared" si="291"/>
        <v>0.0%</v>
      </c>
      <c r="BI122" s="391">
        <f t="shared" si="292"/>
        <v>0</v>
      </c>
      <c r="BJ122" s="260" t="str">
        <f t="shared" si="293"/>
        <v>0.0%</v>
      </c>
      <c r="BK122" s="261" t="str">
        <f t="shared" si="294"/>
        <v>0.0%</v>
      </c>
      <c r="BL122" s="391">
        <f t="shared" si="295"/>
        <v>0</v>
      </c>
      <c r="BM122" s="307" t="str">
        <f t="shared" si="296"/>
        <v>0.0%</v>
      </c>
    </row>
    <row r="123" spans="1:65" s="233" customFormat="1" ht="12" x14ac:dyDescent="0.2">
      <c r="A123" s="245" t="s">
        <v>268</v>
      </c>
      <c r="B123" s="386"/>
      <c r="C123" s="387">
        <f t="shared" si="263"/>
        <v>0</v>
      </c>
      <c r="D123" s="386"/>
      <c r="E123" s="260" t="str">
        <f t="shared" si="246"/>
        <v>0.0%</v>
      </c>
      <c r="F123" s="261" t="str">
        <f t="shared" si="264"/>
        <v>0.0%</v>
      </c>
      <c r="G123" s="386"/>
      <c r="H123" s="260" t="str">
        <f t="shared" si="265"/>
        <v>0.0%</v>
      </c>
      <c r="I123" s="261" t="str">
        <f t="shared" si="266"/>
        <v>0.0%</v>
      </c>
      <c r="J123" s="386"/>
      <c r="K123" s="303" t="str">
        <f t="shared" si="247"/>
        <v>0.0%</v>
      </c>
      <c r="L123" s="282" t="str">
        <f t="shared" si="248"/>
        <v>0.0%</v>
      </c>
      <c r="M123" s="391">
        <f t="shared" si="267"/>
        <v>0</v>
      </c>
      <c r="N123" s="303" t="str">
        <f t="shared" si="268"/>
        <v>0.0%</v>
      </c>
      <c r="O123" s="283" t="str">
        <f t="shared" si="269"/>
        <v>0.0%</v>
      </c>
      <c r="P123" s="386"/>
      <c r="Q123" s="260" t="str">
        <f t="shared" si="270"/>
        <v>0.0%</v>
      </c>
      <c r="R123" s="261" t="str">
        <f t="shared" si="271"/>
        <v>0.0%</v>
      </c>
      <c r="S123" s="386"/>
      <c r="T123" s="260" t="str">
        <f t="shared" si="249"/>
        <v>0.0%</v>
      </c>
      <c r="U123" s="307" t="str">
        <f t="shared" si="250"/>
        <v>0.0%</v>
      </c>
      <c r="V123" s="386"/>
      <c r="W123" s="260" t="str">
        <f t="shared" si="272"/>
        <v>0.0%</v>
      </c>
      <c r="X123" s="307" t="str">
        <f t="shared" si="273"/>
        <v>0.0%</v>
      </c>
      <c r="Y123" s="391">
        <f t="shared" si="274"/>
        <v>0</v>
      </c>
      <c r="Z123" s="260" t="str">
        <f t="shared" si="275"/>
        <v>0.0%</v>
      </c>
      <c r="AA123" s="307" t="str">
        <f t="shared" si="276"/>
        <v>0.0%</v>
      </c>
      <c r="AB123" s="386"/>
      <c r="AC123" s="260" t="str">
        <f t="shared" si="251"/>
        <v>0.0%</v>
      </c>
      <c r="AD123" s="307" t="str">
        <f t="shared" si="252"/>
        <v>0.0%</v>
      </c>
      <c r="AE123" s="386"/>
      <c r="AF123" s="260" t="str">
        <f t="shared" si="253"/>
        <v>0.0%</v>
      </c>
      <c r="AG123" s="307" t="str">
        <f t="shared" si="254"/>
        <v>0.0%</v>
      </c>
      <c r="AH123" s="386"/>
      <c r="AI123" s="260" t="str">
        <f t="shared" si="277"/>
        <v>0.0%</v>
      </c>
      <c r="AJ123" s="307" t="str">
        <f t="shared" si="278"/>
        <v>0.0%</v>
      </c>
      <c r="AK123" s="391">
        <f t="shared" si="279"/>
        <v>0</v>
      </c>
      <c r="AL123" s="260" t="str">
        <f t="shared" si="255"/>
        <v>0.0%</v>
      </c>
      <c r="AM123" s="307" t="str">
        <f t="shared" si="256"/>
        <v>0.0%</v>
      </c>
      <c r="AN123" s="386"/>
      <c r="AO123" s="260" t="str">
        <f t="shared" si="280"/>
        <v>0.0%</v>
      </c>
      <c r="AP123" s="307" t="str">
        <f t="shared" si="281"/>
        <v>0.0%</v>
      </c>
      <c r="AQ123" s="386"/>
      <c r="AR123" s="260" t="str">
        <f t="shared" si="257"/>
        <v>0.0%</v>
      </c>
      <c r="AS123" s="307" t="str">
        <f t="shared" si="258"/>
        <v>0.0%</v>
      </c>
      <c r="AT123" s="386"/>
      <c r="AU123" s="260" t="str">
        <f t="shared" si="282"/>
        <v>0.0%</v>
      </c>
      <c r="AV123" s="307" t="str">
        <f t="shared" si="283"/>
        <v>0.0%</v>
      </c>
      <c r="AW123" s="391">
        <f t="shared" si="284"/>
        <v>0</v>
      </c>
      <c r="AX123" s="260" t="str">
        <f t="shared" si="259"/>
        <v>0.0%</v>
      </c>
      <c r="AY123" s="307" t="str">
        <f t="shared" si="260"/>
        <v>0.0%</v>
      </c>
      <c r="AZ123" s="391">
        <f t="shared" si="285"/>
        <v>0</v>
      </c>
      <c r="BA123" s="260" t="str">
        <f t="shared" si="261"/>
        <v>0.0%</v>
      </c>
      <c r="BB123" s="261" t="str">
        <f t="shared" si="262"/>
        <v>0.0%</v>
      </c>
      <c r="BC123" s="391">
        <f t="shared" si="286"/>
        <v>0</v>
      </c>
      <c r="BD123" s="260" t="str">
        <f t="shared" si="287"/>
        <v>0.0%</v>
      </c>
      <c r="BE123" s="261" t="str">
        <f t="shared" si="288"/>
        <v>0.0%</v>
      </c>
      <c r="BF123" s="391">
        <f t="shared" si="289"/>
        <v>0</v>
      </c>
      <c r="BG123" s="260" t="str">
        <f t="shared" si="290"/>
        <v>0.0%</v>
      </c>
      <c r="BH123" s="261" t="str">
        <f t="shared" si="291"/>
        <v>0.0%</v>
      </c>
      <c r="BI123" s="391">
        <f t="shared" si="292"/>
        <v>0</v>
      </c>
      <c r="BJ123" s="260" t="str">
        <f t="shared" si="293"/>
        <v>0.0%</v>
      </c>
      <c r="BK123" s="261" t="str">
        <f t="shared" si="294"/>
        <v>0.0%</v>
      </c>
      <c r="BL123" s="391">
        <f t="shared" si="295"/>
        <v>0</v>
      </c>
      <c r="BM123" s="307" t="str">
        <f t="shared" si="296"/>
        <v>0.0%</v>
      </c>
    </row>
    <row r="124" spans="1:65" s="233" customFormat="1" ht="12" x14ac:dyDescent="0.2">
      <c r="A124" s="246" t="s">
        <v>400</v>
      </c>
      <c r="B124" s="386"/>
      <c r="C124" s="387">
        <f t="shared" si="263"/>
        <v>0</v>
      </c>
      <c r="D124" s="386"/>
      <c r="E124" s="260" t="str">
        <f t="shared" si="246"/>
        <v>0.0%</v>
      </c>
      <c r="F124" s="261" t="str">
        <f t="shared" si="264"/>
        <v>0.0%</v>
      </c>
      <c r="G124" s="386"/>
      <c r="H124" s="260" t="str">
        <f t="shared" si="265"/>
        <v>0.0%</v>
      </c>
      <c r="I124" s="261" t="str">
        <f t="shared" si="266"/>
        <v>0.0%</v>
      </c>
      <c r="J124" s="386"/>
      <c r="K124" s="303" t="str">
        <f t="shared" si="247"/>
        <v>0.0%</v>
      </c>
      <c r="L124" s="282" t="str">
        <f t="shared" si="248"/>
        <v>0.0%</v>
      </c>
      <c r="M124" s="391">
        <f t="shared" si="267"/>
        <v>0</v>
      </c>
      <c r="N124" s="303" t="str">
        <f t="shared" si="268"/>
        <v>0.0%</v>
      </c>
      <c r="O124" s="283" t="str">
        <f t="shared" si="269"/>
        <v>0.0%</v>
      </c>
      <c r="P124" s="386"/>
      <c r="Q124" s="260" t="str">
        <f t="shared" si="270"/>
        <v>0.0%</v>
      </c>
      <c r="R124" s="261" t="str">
        <f t="shared" si="271"/>
        <v>0.0%</v>
      </c>
      <c r="S124" s="386"/>
      <c r="T124" s="260" t="str">
        <f t="shared" si="249"/>
        <v>0.0%</v>
      </c>
      <c r="U124" s="307" t="str">
        <f t="shared" si="250"/>
        <v>0.0%</v>
      </c>
      <c r="V124" s="386"/>
      <c r="W124" s="260" t="str">
        <f t="shared" si="272"/>
        <v>0.0%</v>
      </c>
      <c r="X124" s="307" t="str">
        <f t="shared" si="273"/>
        <v>0.0%</v>
      </c>
      <c r="Y124" s="391">
        <f t="shared" si="274"/>
        <v>0</v>
      </c>
      <c r="Z124" s="260" t="str">
        <f t="shared" si="275"/>
        <v>0.0%</v>
      </c>
      <c r="AA124" s="307" t="str">
        <f t="shared" si="276"/>
        <v>0.0%</v>
      </c>
      <c r="AB124" s="386"/>
      <c r="AC124" s="260" t="str">
        <f t="shared" si="251"/>
        <v>0.0%</v>
      </c>
      <c r="AD124" s="307" t="str">
        <f t="shared" si="252"/>
        <v>0.0%</v>
      </c>
      <c r="AE124" s="386"/>
      <c r="AF124" s="260" t="str">
        <f t="shared" si="253"/>
        <v>0.0%</v>
      </c>
      <c r="AG124" s="307" t="str">
        <f t="shared" si="254"/>
        <v>0.0%</v>
      </c>
      <c r="AH124" s="386"/>
      <c r="AI124" s="260" t="str">
        <f t="shared" si="277"/>
        <v>0.0%</v>
      </c>
      <c r="AJ124" s="307" t="str">
        <f t="shared" si="278"/>
        <v>0.0%</v>
      </c>
      <c r="AK124" s="391">
        <f t="shared" si="279"/>
        <v>0</v>
      </c>
      <c r="AL124" s="260" t="str">
        <f t="shared" si="255"/>
        <v>0.0%</v>
      </c>
      <c r="AM124" s="307" t="str">
        <f t="shared" si="256"/>
        <v>0.0%</v>
      </c>
      <c r="AN124" s="386"/>
      <c r="AO124" s="260" t="str">
        <f t="shared" si="280"/>
        <v>0.0%</v>
      </c>
      <c r="AP124" s="307" t="str">
        <f t="shared" si="281"/>
        <v>0.0%</v>
      </c>
      <c r="AQ124" s="386"/>
      <c r="AR124" s="260" t="str">
        <f t="shared" si="257"/>
        <v>0.0%</v>
      </c>
      <c r="AS124" s="307" t="str">
        <f t="shared" si="258"/>
        <v>0.0%</v>
      </c>
      <c r="AT124" s="386"/>
      <c r="AU124" s="260" t="str">
        <f t="shared" si="282"/>
        <v>0.0%</v>
      </c>
      <c r="AV124" s="307" t="str">
        <f t="shared" si="283"/>
        <v>0.0%</v>
      </c>
      <c r="AW124" s="391">
        <f t="shared" si="284"/>
        <v>0</v>
      </c>
      <c r="AX124" s="260" t="str">
        <f t="shared" si="259"/>
        <v>0.0%</v>
      </c>
      <c r="AY124" s="307" t="str">
        <f t="shared" si="260"/>
        <v>0.0%</v>
      </c>
      <c r="AZ124" s="391">
        <f t="shared" si="285"/>
        <v>0</v>
      </c>
      <c r="BA124" s="260" t="str">
        <f t="shared" si="261"/>
        <v>0.0%</v>
      </c>
      <c r="BB124" s="261" t="str">
        <f t="shared" si="262"/>
        <v>0.0%</v>
      </c>
      <c r="BC124" s="391">
        <f t="shared" si="286"/>
        <v>0</v>
      </c>
      <c r="BD124" s="260" t="str">
        <f t="shared" si="287"/>
        <v>0.0%</v>
      </c>
      <c r="BE124" s="261" t="str">
        <f t="shared" si="288"/>
        <v>0.0%</v>
      </c>
      <c r="BF124" s="391">
        <f t="shared" si="289"/>
        <v>0</v>
      </c>
      <c r="BG124" s="260" t="str">
        <f t="shared" si="290"/>
        <v>0.0%</v>
      </c>
      <c r="BH124" s="261" t="str">
        <f t="shared" si="291"/>
        <v>0.0%</v>
      </c>
      <c r="BI124" s="391">
        <f t="shared" si="292"/>
        <v>0</v>
      </c>
      <c r="BJ124" s="260" t="str">
        <f t="shared" si="293"/>
        <v>0.0%</v>
      </c>
      <c r="BK124" s="261" t="str">
        <f t="shared" si="294"/>
        <v>0.0%</v>
      </c>
      <c r="BL124" s="391">
        <f t="shared" si="295"/>
        <v>0</v>
      </c>
      <c r="BM124" s="307" t="str">
        <f t="shared" si="296"/>
        <v>0.0%</v>
      </c>
    </row>
    <row r="125" spans="1:65" s="233" customFormat="1" ht="12" x14ac:dyDescent="0.2">
      <c r="A125" s="247" t="s">
        <v>401</v>
      </c>
      <c r="B125" s="386"/>
      <c r="C125" s="387">
        <f t="shared" si="263"/>
        <v>0</v>
      </c>
      <c r="D125" s="386"/>
      <c r="E125" s="260" t="str">
        <f t="shared" si="246"/>
        <v>0.0%</v>
      </c>
      <c r="F125" s="261" t="str">
        <f t="shared" si="264"/>
        <v>0.0%</v>
      </c>
      <c r="G125" s="386"/>
      <c r="H125" s="260" t="str">
        <f t="shared" si="265"/>
        <v>0.0%</v>
      </c>
      <c r="I125" s="261" t="str">
        <f t="shared" si="266"/>
        <v>0.0%</v>
      </c>
      <c r="J125" s="386"/>
      <c r="K125" s="303" t="str">
        <f t="shared" si="247"/>
        <v>0.0%</v>
      </c>
      <c r="L125" s="282" t="str">
        <f t="shared" si="248"/>
        <v>0.0%</v>
      </c>
      <c r="M125" s="391">
        <f t="shared" si="267"/>
        <v>0</v>
      </c>
      <c r="N125" s="303" t="str">
        <f t="shared" si="268"/>
        <v>0.0%</v>
      </c>
      <c r="O125" s="283" t="str">
        <f t="shared" si="269"/>
        <v>0.0%</v>
      </c>
      <c r="P125" s="386"/>
      <c r="Q125" s="260" t="str">
        <f t="shared" si="270"/>
        <v>0.0%</v>
      </c>
      <c r="R125" s="261" t="str">
        <f t="shared" si="271"/>
        <v>0.0%</v>
      </c>
      <c r="S125" s="386"/>
      <c r="T125" s="260" t="str">
        <f t="shared" si="249"/>
        <v>0.0%</v>
      </c>
      <c r="U125" s="307" t="str">
        <f t="shared" si="250"/>
        <v>0.0%</v>
      </c>
      <c r="V125" s="386"/>
      <c r="W125" s="260" t="str">
        <f t="shared" si="272"/>
        <v>0.0%</v>
      </c>
      <c r="X125" s="307" t="str">
        <f t="shared" si="273"/>
        <v>0.0%</v>
      </c>
      <c r="Y125" s="391">
        <f t="shared" si="274"/>
        <v>0</v>
      </c>
      <c r="Z125" s="260" t="str">
        <f t="shared" si="275"/>
        <v>0.0%</v>
      </c>
      <c r="AA125" s="307" t="str">
        <f t="shared" si="276"/>
        <v>0.0%</v>
      </c>
      <c r="AB125" s="386"/>
      <c r="AC125" s="260" t="str">
        <f t="shared" si="251"/>
        <v>0.0%</v>
      </c>
      <c r="AD125" s="307" t="str">
        <f t="shared" si="252"/>
        <v>0.0%</v>
      </c>
      <c r="AE125" s="386"/>
      <c r="AF125" s="260" t="str">
        <f t="shared" si="253"/>
        <v>0.0%</v>
      </c>
      <c r="AG125" s="307" t="str">
        <f t="shared" si="254"/>
        <v>0.0%</v>
      </c>
      <c r="AH125" s="386"/>
      <c r="AI125" s="260" t="str">
        <f t="shared" si="277"/>
        <v>0.0%</v>
      </c>
      <c r="AJ125" s="307" t="str">
        <f t="shared" si="278"/>
        <v>0.0%</v>
      </c>
      <c r="AK125" s="391">
        <f t="shared" si="279"/>
        <v>0</v>
      </c>
      <c r="AL125" s="260" t="str">
        <f t="shared" si="255"/>
        <v>0.0%</v>
      </c>
      <c r="AM125" s="307" t="str">
        <f t="shared" si="256"/>
        <v>0.0%</v>
      </c>
      <c r="AN125" s="386"/>
      <c r="AO125" s="260" t="str">
        <f t="shared" si="280"/>
        <v>0.0%</v>
      </c>
      <c r="AP125" s="307" t="str">
        <f t="shared" si="281"/>
        <v>0.0%</v>
      </c>
      <c r="AQ125" s="386"/>
      <c r="AR125" s="260" t="str">
        <f t="shared" si="257"/>
        <v>0.0%</v>
      </c>
      <c r="AS125" s="307" t="str">
        <f t="shared" si="258"/>
        <v>0.0%</v>
      </c>
      <c r="AT125" s="386"/>
      <c r="AU125" s="260" t="str">
        <f t="shared" si="282"/>
        <v>0.0%</v>
      </c>
      <c r="AV125" s="307" t="str">
        <f t="shared" si="283"/>
        <v>0.0%</v>
      </c>
      <c r="AW125" s="391">
        <f t="shared" si="284"/>
        <v>0</v>
      </c>
      <c r="AX125" s="260" t="str">
        <f t="shared" si="259"/>
        <v>0.0%</v>
      </c>
      <c r="AY125" s="307" t="str">
        <f t="shared" si="260"/>
        <v>0.0%</v>
      </c>
      <c r="AZ125" s="391">
        <f t="shared" si="285"/>
        <v>0</v>
      </c>
      <c r="BA125" s="260" t="str">
        <f t="shared" si="261"/>
        <v>0.0%</v>
      </c>
      <c r="BB125" s="261" t="str">
        <f t="shared" si="262"/>
        <v>0.0%</v>
      </c>
      <c r="BC125" s="391">
        <f t="shared" si="286"/>
        <v>0</v>
      </c>
      <c r="BD125" s="260" t="str">
        <f t="shared" si="287"/>
        <v>0.0%</v>
      </c>
      <c r="BE125" s="261" t="str">
        <f t="shared" si="288"/>
        <v>0.0%</v>
      </c>
      <c r="BF125" s="391">
        <f t="shared" si="289"/>
        <v>0</v>
      </c>
      <c r="BG125" s="260" t="str">
        <f t="shared" si="290"/>
        <v>0.0%</v>
      </c>
      <c r="BH125" s="261" t="str">
        <f t="shared" si="291"/>
        <v>0.0%</v>
      </c>
      <c r="BI125" s="391">
        <f t="shared" si="292"/>
        <v>0</v>
      </c>
      <c r="BJ125" s="260" t="str">
        <f t="shared" si="293"/>
        <v>0.0%</v>
      </c>
      <c r="BK125" s="261" t="str">
        <f t="shared" si="294"/>
        <v>0.0%</v>
      </c>
      <c r="BL125" s="391">
        <f t="shared" si="295"/>
        <v>0</v>
      </c>
      <c r="BM125" s="307" t="str">
        <f t="shared" si="296"/>
        <v>0.0%</v>
      </c>
    </row>
    <row r="126" spans="1:65" s="233" customFormat="1" ht="12" x14ac:dyDescent="0.2">
      <c r="A126" s="247" t="s">
        <v>505</v>
      </c>
      <c r="B126" s="386"/>
      <c r="C126" s="387">
        <f t="shared" si="263"/>
        <v>0</v>
      </c>
      <c r="D126" s="386"/>
      <c r="E126" s="260" t="str">
        <f t="shared" si="246"/>
        <v>0.0%</v>
      </c>
      <c r="F126" s="261" t="str">
        <f t="shared" si="264"/>
        <v>0.0%</v>
      </c>
      <c r="G126" s="386"/>
      <c r="H126" s="260" t="str">
        <f t="shared" si="265"/>
        <v>0.0%</v>
      </c>
      <c r="I126" s="261" t="str">
        <f t="shared" si="266"/>
        <v>0.0%</v>
      </c>
      <c r="J126" s="386"/>
      <c r="K126" s="303" t="str">
        <f t="shared" si="247"/>
        <v>0.0%</v>
      </c>
      <c r="L126" s="282" t="str">
        <f t="shared" si="248"/>
        <v>0.0%</v>
      </c>
      <c r="M126" s="391">
        <f t="shared" si="267"/>
        <v>0</v>
      </c>
      <c r="N126" s="303" t="str">
        <f t="shared" si="268"/>
        <v>0.0%</v>
      </c>
      <c r="O126" s="283" t="str">
        <f t="shared" si="269"/>
        <v>0.0%</v>
      </c>
      <c r="P126" s="386"/>
      <c r="Q126" s="260" t="str">
        <f t="shared" si="270"/>
        <v>0.0%</v>
      </c>
      <c r="R126" s="261" t="str">
        <f t="shared" si="271"/>
        <v>0.0%</v>
      </c>
      <c r="S126" s="386"/>
      <c r="T126" s="260" t="str">
        <f t="shared" si="249"/>
        <v>0.0%</v>
      </c>
      <c r="U126" s="307" t="str">
        <f t="shared" si="250"/>
        <v>0.0%</v>
      </c>
      <c r="V126" s="386"/>
      <c r="W126" s="260" t="str">
        <f t="shared" si="272"/>
        <v>0.0%</v>
      </c>
      <c r="X126" s="307" t="str">
        <f t="shared" si="273"/>
        <v>0.0%</v>
      </c>
      <c r="Y126" s="391">
        <f t="shared" si="274"/>
        <v>0</v>
      </c>
      <c r="Z126" s="260" t="str">
        <f t="shared" si="275"/>
        <v>0.0%</v>
      </c>
      <c r="AA126" s="307" t="str">
        <f t="shared" si="276"/>
        <v>0.0%</v>
      </c>
      <c r="AB126" s="386"/>
      <c r="AC126" s="260" t="str">
        <f t="shared" si="251"/>
        <v>0.0%</v>
      </c>
      <c r="AD126" s="307" t="str">
        <f t="shared" si="252"/>
        <v>0.0%</v>
      </c>
      <c r="AE126" s="386"/>
      <c r="AF126" s="260" t="str">
        <f t="shared" si="253"/>
        <v>0.0%</v>
      </c>
      <c r="AG126" s="307" t="str">
        <f t="shared" si="254"/>
        <v>0.0%</v>
      </c>
      <c r="AH126" s="386"/>
      <c r="AI126" s="260" t="str">
        <f t="shared" si="277"/>
        <v>0.0%</v>
      </c>
      <c r="AJ126" s="307" t="str">
        <f t="shared" si="278"/>
        <v>0.0%</v>
      </c>
      <c r="AK126" s="391">
        <f t="shared" si="279"/>
        <v>0</v>
      </c>
      <c r="AL126" s="260" t="str">
        <f t="shared" si="255"/>
        <v>0.0%</v>
      </c>
      <c r="AM126" s="307" t="str">
        <f t="shared" si="256"/>
        <v>0.0%</v>
      </c>
      <c r="AN126" s="386"/>
      <c r="AO126" s="260" t="str">
        <f t="shared" si="280"/>
        <v>0.0%</v>
      </c>
      <c r="AP126" s="307" t="str">
        <f t="shared" si="281"/>
        <v>0.0%</v>
      </c>
      <c r="AQ126" s="386"/>
      <c r="AR126" s="260" t="str">
        <f t="shared" si="257"/>
        <v>0.0%</v>
      </c>
      <c r="AS126" s="307" t="str">
        <f t="shared" si="258"/>
        <v>0.0%</v>
      </c>
      <c r="AT126" s="386"/>
      <c r="AU126" s="260" t="str">
        <f t="shared" si="282"/>
        <v>0.0%</v>
      </c>
      <c r="AV126" s="307" t="str">
        <f t="shared" si="283"/>
        <v>0.0%</v>
      </c>
      <c r="AW126" s="391">
        <f t="shared" si="284"/>
        <v>0</v>
      </c>
      <c r="AX126" s="260" t="str">
        <f t="shared" si="259"/>
        <v>0.0%</v>
      </c>
      <c r="AY126" s="307" t="str">
        <f t="shared" si="260"/>
        <v>0.0%</v>
      </c>
      <c r="AZ126" s="391">
        <f t="shared" si="285"/>
        <v>0</v>
      </c>
      <c r="BA126" s="260" t="str">
        <f t="shared" si="261"/>
        <v>0.0%</v>
      </c>
      <c r="BB126" s="261" t="str">
        <f t="shared" si="262"/>
        <v>0.0%</v>
      </c>
      <c r="BC126" s="391">
        <f t="shared" si="286"/>
        <v>0</v>
      </c>
      <c r="BD126" s="260" t="str">
        <f t="shared" si="287"/>
        <v>0.0%</v>
      </c>
      <c r="BE126" s="261" t="str">
        <f t="shared" si="288"/>
        <v>0.0%</v>
      </c>
      <c r="BF126" s="391">
        <f t="shared" si="289"/>
        <v>0</v>
      </c>
      <c r="BG126" s="260" t="str">
        <f t="shared" si="290"/>
        <v>0.0%</v>
      </c>
      <c r="BH126" s="261" t="str">
        <f t="shared" si="291"/>
        <v>0.0%</v>
      </c>
      <c r="BI126" s="391">
        <f t="shared" si="292"/>
        <v>0</v>
      </c>
      <c r="BJ126" s="260" t="str">
        <f t="shared" si="293"/>
        <v>0.0%</v>
      </c>
      <c r="BK126" s="261" t="str">
        <f t="shared" si="294"/>
        <v>0.0%</v>
      </c>
      <c r="BL126" s="391">
        <f t="shared" si="295"/>
        <v>0</v>
      </c>
      <c r="BM126" s="307" t="str">
        <f t="shared" si="296"/>
        <v>0.0%</v>
      </c>
    </row>
    <row r="127" spans="1:65" s="233" customFormat="1" ht="12" x14ac:dyDescent="0.2">
      <c r="A127" s="246" t="s">
        <v>267</v>
      </c>
      <c r="B127" s="386"/>
      <c r="C127" s="387">
        <f t="shared" si="263"/>
        <v>0</v>
      </c>
      <c r="D127" s="386"/>
      <c r="E127" s="260" t="str">
        <f t="shared" si="246"/>
        <v>0.0%</v>
      </c>
      <c r="F127" s="261" t="str">
        <f t="shared" si="264"/>
        <v>0.0%</v>
      </c>
      <c r="G127" s="386"/>
      <c r="H127" s="260" t="str">
        <f t="shared" si="265"/>
        <v>0.0%</v>
      </c>
      <c r="I127" s="261" t="str">
        <f t="shared" si="266"/>
        <v>0.0%</v>
      </c>
      <c r="J127" s="386"/>
      <c r="K127" s="303" t="str">
        <f t="shared" si="247"/>
        <v>0.0%</v>
      </c>
      <c r="L127" s="282" t="str">
        <f t="shared" si="248"/>
        <v>0.0%</v>
      </c>
      <c r="M127" s="391">
        <f t="shared" si="267"/>
        <v>0</v>
      </c>
      <c r="N127" s="303" t="str">
        <f t="shared" si="268"/>
        <v>0.0%</v>
      </c>
      <c r="O127" s="283" t="str">
        <f t="shared" si="269"/>
        <v>0.0%</v>
      </c>
      <c r="P127" s="386"/>
      <c r="Q127" s="260" t="str">
        <f t="shared" si="270"/>
        <v>0.0%</v>
      </c>
      <c r="R127" s="261" t="str">
        <f t="shared" si="271"/>
        <v>0.0%</v>
      </c>
      <c r="S127" s="386"/>
      <c r="T127" s="260" t="str">
        <f t="shared" si="249"/>
        <v>0.0%</v>
      </c>
      <c r="U127" s="307" t="str">
        <f t="shared" si="250"/>
        <v>0.0%</v>
      </c>
      <c r="V127" s="386"/>
      <c r="W127" s="260" t="str">
        <f t="shared" si="272"/>
        <v>0.0%</v>
      </c>
      <c r="X127" s="307" t="str">
        <f t="shared" si="273"/>
        <v>0.0%</v>
      </c>
      <c r="Y127" s="391">
        <f t="shared" si="274"/>
        <v>0</v>
      </c>
      <c r="Z127" s="260" t="str">
        <f t="shared" si="275"/>
        <v>0.0%</v>
      </c>
      <c r="AA127" s="307" t="str">
        <f t="shared" si="276"/>
        <v>0.0%</v>
      </c>
      <c r="AB127" s="386"/>
      <c r="AC127" s="260" t="str">
        <f t="shared" si="251"/>
        <v>0.0%</v>
      </c>
      <c r="AD127" s="307" t="str">
        <f t="shared" si="252"/>
        <v>0.0%</v>
      </c>
      <c r="AE127" s="386"/>
      <c r="AF127" s="260" t="str">
        <f t="shared" si="253"/>
        <v>0.0%</v>
      </c>
      <c r="AG127" s="307" t="str">
        <f t="shared" si="254"/>
        <v>0.0%</v>
      </c>
      <c r="AH127" s="386"/>
      <c r="AI127" s="260" t="str">
        <f t="shared" si="277"/>
        <v>0.0%</v>
      </c>
      <c r="AJ127" s="307" t="str">
        <f t="shared" si="278"/>
        <v>0.0%</v>
      </c>
      <c r="AK127" s="391">
        <f t="shared" si="279"/>
        <v>0</v>
      </c>
      <c r="AL127" s="260" t="str">
        <f t="shared" si="255"/>
        <v>0.0%</v>
      </c>
      <c r="AM127" s="307" t="str">
        <f t="shared" si="256"/>
        <v>0.0%</v>
      </c>
      <c r="AN127" s="386"/>
      <c r="AO127" s="260" t="str">
        <f t="shared" si="280"/>
        <v>0.0%</v>
      </c>
      <c r="AP127" s="307" t="str">
        <f t="shared" si="281"/>
        <v>0.0%</v>
      </c>
      <c r="AQ127" s="386"/>
      <c r="AR127" s="260" t="str">
        <f t="shared" si="257"/>
        <v>0.0%</v>
      </c>
      <c r="AS127" s="307" t="str">
        <f t="shared" si="258"/>
        <v>0.0%</v>
      </c>
      <c r="AT127" s="386"/>
      <c r="AU127" s="260" t="str">
        <f t="shared" si="282"/>
        <v>0.0%</v>
      </c>
      <c r="AV127" s="307" t="str">
        <f t="shared" si="283"/>
        <v>0.0%</v>
      </c>
      <c r="AW127" s="391">
        <f t="shared" si="284"/>
        <v>0</v>
      </c>
      <c r="AX127" s="260" t="str">
        <f t="shared" si="259"/>
        <v>0.0%</v>
      </c>
      <c r="AY127" s="307" t="str">
        <f t="shared" si="260"/>
        <v>0.0%</v>
      </c>
      <c r="AZ127" s="391">
        <f t="shared" si="285"/>
        <v>0</v>
      </c>
      <c r="BA127" s="260" t="str">
        <f t="shared" si="261"/>
        <v>0.0%</v>
      </c>
      <c r="BB127" s="261" t="str">
        <f t="shared" si="262"/>
        <v>0.0%</v>
      </c>
      <c r="BC127" s="391">
        <f t="shared" si="286"/>
        <v>0</v>
      </c>
      <c r="BD127" s="260" t="str">
        <f t="shared" si="287"/>
        <v>0.0%</v>
      </c>
      <c r="BE127" s="261" t="str">
        <f t="shared" si="288"/>
        <v>0.0%</v>
      </c>
      <c r="BF127" s="391">
        <f t="shared" si="289"/>
        <v>0</v>
      </c>
      <c r="BG127" s="260" t="str">
        <f t="shared" si="290"/>
        <v>0.0%</v>
      </c>
      <c r="BH127" s="261" t="str">
        <f t="shared" si="291"/>
        <v>0.0%</v>
      </c>
      <c r="BI127" s="391">
        <f t="shared" si="292"/>
        <v>0</v>
      </c>
      <c r="BJ127" s="260" t="str">
        <f t="shared" si="293"/>
        <v>0.0%</v>
      </c>
      <c r="BK127" s="261" t="str">
        <f t="shared" si="294"/>
        <v>0.0%</v>
      </c>
      <c r="BL127" s="391">
        <f t="shared" si="295"/>
        <v>0</v>
      </c>
      <c r="BM127" s="307" t="str">
        <f t="shared" si="296"/>
        <v>0.0%</v>
      </c>
    </row>
    <row r="128" spans="1:65" s="233" customFormat="1" ht="12" x14ac:dyDescent="0.2">
      <c r="A128" s="247" t="s">
        <v>269</v>
      </c>
      <c r="B128" s="386"/>
      <c r="C128" s="387">
        <f t="shared" si="263"/>
        <v>0</v>
      </c>
      <c r="D128" s="386"/>
      <c r="E128" s="260" t="str">
        <f t="shared" si="246"/>
        <v>0.0%</v>
      </c>
      <c r="F128" s="261" t="str">
        <f t="shared" si="264"/>
        <v>0.0%</v>
      </c>
      <c r="G128" s="386"/>
      <c r="H128" s="260" t="str">
        <f t="shared" si="265"/>
        <v>0.0%</v>
      </c>
      <c r="I128" s="261" t="str">
        <f t="shared" si="266"/>
        <v>0.0%</v>
      </c>
      <c r="J128" s="386"/>
      <c r="K128" s="303" t="str">
        <f t="shared" si="247"/>
        <v>0.0%</v>
      </c>
      <c r="L128" s="282" t="str">
        <f t="shared" si="248"/>
        <v>0.0%</v>
      </c>
      <c r="M128" s="391">
        <f t="shared" si="267"/>
        <v>0</v>
      </c>
      <c r="N128" s="303" t="str">
        <f t="shared" si="268"/>
        <v>0.0%</v>
      </c>
      <c r="O128" s="283" t="str">
        <f t="shared" si="269"/>
        <v>0.0%</v>
      </c>
      <c r="P128" s="386"/>
      <c r="Q128" s="260" t="str">
        <f t="shared" si="270"/>
        <v>0.0%</v>
      </c>
      <c r="R128" s="261" t="str">
        <f t="shared" si="271"/>
        <v>0.0%</v>
      </c>
      <c r="S128" s="386"/>
      <c r="T128" s="260" t="str">
        <f t="shared" si="249"/>
        <v>0.0%</v>
      </c>
      <c r="U128" s="307" t="str">
        <f t="shared" si="250"/>
        <v>0.0%</v>
      </c>
      <c r="V128" s="386"/>
      <c r="W128" s="260" t="str">
        <f t="shared" si="272"/>
        <v>0.0%</v>
      </c>
      <c r="X128" s="307" t="str">
        <f t="shared" si="273"/>
        <v>0.0%</v>
      </c>
      <c r="Y128" s="391">
        <f t="shared" si="274"/>
        <v>0</v>
      </c>
      <c r="Z128" s="260" t="str">
        <f t="shared" si="275"/>
        <v>0.0%</v>
      </c>
      <c r="AA128" s="307" t="str">
        <f t="shared" si="276"/>
        <v>0.0%</v>
      </c>
      <c r="AB128" s="386"/>
      <c r="AC128" s="260" t="str">
        <f t="shared" si="251"/>
        <v>0.0%</v>
      </c>
      <c r="AD128" s="307" t="str">
        <f t="shared" si="252"/>
        <v>0.0%</v>
      </c>
      <c r="AE128" s="386"/>
      <c r="AF128" s="260" t="str">
        <f t="shared" si="253"/>
        <v>0.0%</v>
      </c>
      <c r="AG128" s="307" t="str">
        <f t="shared" si="254"/>
        <v>0.0%</v>
      </c>
      <c r="AH128" s="386"/>
      <c r="AI128" s="260" t="str">
        <f t="shared" si="277"/>
        <v>0.0%</v>
      </c>
      <c r="AJ128" s="307" t="str">
        <f t="shared" si="278"/>
        <v>0.0%</v>
      </c>
      <c r="AK128" s="391">
        <f t="shared" si="279"/>
        <v>0</v>
      </c>
      <c r="AL128" s="260" t="str">
        <f t="shared" si="255"/>
        <v>0.0%</v>
      </c>
      <c r="AM128" s="307" t="str">
        <f t="shared" si="256"/>
        <v>0.0%</v>
      </c>
      <c r="AN128" s="386"/>
      <c r="AO128" s="260" t="str">
        <f t="shared" si="280"/>
        <v>0.0%</v>
      </c>
      <c r="AP128" s="307" t="str">
        <f t="shared" si="281"/>
        <v>0.0%</v>
      </c>
      <c r="AQ128" s="386"/>
      <c r="AR128" s="260" t="str">
        <f t="shared" si="257"/>
        <v>0.0%</v>
      </c>
      <c r="AS128" s="307" t="str">
        <f t="shared" si="258"/>
        <v>0.0%</v>
      </c>
      <c r="AT128" s="386"/>
      <c r="AU128" s="260" t="str">
        <f t="shared" si="282"/>
        <v>0.0%</v>
      </c>
      <c r="AV128" s="307" t="str">
        <f t="shared" si="283"/>
        <v>0.0%</v>
      </c>
      <c r="AW128" s="391">
        <f t="shared" si="284"/>
        <v>0</v>
      </c>
      <c r="AX128" s="260" t="str">
        <f t="shared" si="259"/>
        <v>0.0%</v>
      </c>
      <c r="AY128" s="307" t="str">
        <f t="shared" si="260"/>
        <v>0.0%</v>
      </c>
      <c r="AZ128" s="391">
        <f t="shared" si="285"/>
        <v>0</v>
      </c>
      <c r="BA128" s="260" t="str">
        <f t="shared" si="261"/>
        <v>0.0%</v>
      </c>
      <c r="BB128" s="261" t="str">
        <f t="shared" si="262"/>
        <v>0.0%</v>
      </c>
      <c r="BC128" s="391">
        <f t="shared" si="286"/>
        <v>0</v>
      </c>
      <c r="BD128" s="260" t="str">
        <f t="shared" si="287"/>
        <v>0.0%</v>
      </c>
      <c r="BE128" s="261" t="str">
        <f t="shared" si="288"/>
        <v>0.0%</v>
      </c>
      <c r="BF128" s="391">
        <f t="shared" si="289"/>
        <v>0</v>
      </c>
      <c r="BG128" s="260" t="str">
        <f t="shared" si="290"/>
        <v>0.0%</v>
      </c>
      <c r="BH128" s="261" t="str">
        <f t="shared" si="291"/>
        <v>0.0%</v>
      </c>
      <c r="BI128" s="391">
        <f t="shared" si="292"/>
        <v>0</v>
      </c>
      <c r="BJ128" s="260" t="str">
        <f t="shared" si="293"/>
        <v>0.0%</v>
      </c>
      <c r="BK128" s="261" t="str">
        <f t="shared" si="294"/>
        <v>0.0%</v>
      </c>
      <c r="BL128" s="391">
        <f t="shared" si="295"/>
        <v>0</v>
      </c>
      <c r="BM128" s="307" t="str">
        <f t="shared" si="296"/>
        <v>0.0%</v>
      </c>
    </row>
    <row r="129" spans="1:65" s="233" customFormat="1" ht="12" x14ac:dyDescent="0.2">
      <c r="A129" s="246" t="s">
        <v>270</v>
      </c>
      <c r="B129" s="386"/>
      <c r="C129" s="387">
        <f t="shared" si="263"/>
        <v>0</v>
      </c>
      <c r="D129" s="386"/>
      <c r="E129" s="260" t="str">
        <f t="shared" si="246"/>
        <v>0.0%</v>
      </c>
      <c r="F129" s="261" t="str">
        <f t="shared" si="264"/>
        <v>0.0%</v>
      </c>
      <c r="G129" s="386"/>
      <c r="H129" s="260" t="str">
        <f t="shared" si="265"/>
        <v>0.0%</v>
      </c>
      <c r="I129" s="261" t="str">
        <f t="shared" si="266"/>
        <v>0.0%</v>
      </c>
      <c r="J129" s="386"/>
      <c r="K129" s="303" t="str">
        <f t="shared" si="247"/>
        <v>0.0%</v>
      </c>
      <c r="L129" s="282" t="str">
        <f t="shared" si="248"/>
        <v>0.0%</v>
      </c>
      <c r="M129" s="391">
        <f t="shared" si="267"/>
        <v>0</v>
      </c>
      <c r="N129" s="303" t="str">
        <f t="shared" si="268"/>
        <v>0.0%</v>
      </c>
      <c r="O129" s="283" t="str">
        <f t="shared" si="269"/>
        <v>0.0%</v>
      </c>
      <c r="P129" s="386"/>
      <c r="Q129" s="260" t="str">
        <f t="shared" si="270"/>
        <v>0.0%</v>
      </c>
      <c r="R129" s="261" t="str">
        <f t="shared" si="271"/>
        <v>0.0%</v>
      </c>
      <c r="S129" s="386"/>
      <c r="T129" s="260" t="str">
        <f t="shared" si="249"/>
        <v>0.0%</v>
      </c>
      <c r="U129" s="307" t="str">
        <f t="shared" si="250"/>
        <v>0.0%</v>
      </c>
      <c r="V129" s="386"/>
      <c r="W129" s="260" t="str">
        <f t="shared" si="272"/>
        <v>0.0%</v>
      </c>
      <c r="X129" s="307" t="str">
        <f t="shared" si="273"/>
        <v>0.0%</v>
      </c>
      <c r="Y129" s="391">
        <f t="shared" si="274"/>
        <v>0</v>
      </c>
      <c r="Z129" s="260" t="str">
        <f t="shared" si="275"/>
        <v>0.0%</v>
      </c>
      <c r="AA129" s="307" t="str">
        <f t="shared" si="276"/>
        <v>0.0%</v>
      </c>
      <c r="AB129" s="386"/>
      <c r="AC129" s="260" t="str">
        <f t="shared" si="251"/>
        <v>0.0%</v>
      </c>
      <c r="AD129" s="307" t="str">
        <f t="shared" si="252"/>
        <v>0.0%</v>
      </c>
      <c r="AE129" s="386"/>
      <c r="AF129" s="260" t="str">
        <f t="shared" si="253"/>
        <v>0.0%</v>
      </c>
      <c r="AG129" s="307" t="str">
        <f t="shared" si="254"/>
        <v>0.0%</v>
      </c>
      <c r="AH129" s="386"/>
      <c r="AI129" s="260" t="str">
        <f t="shared" si="277"/>
        <v>0.0%</v>
      </c>
      <c r="AJ129" s="307" t="str">
        <f t="shared" si="278"/>
        <v>0.0%</v>
      </c>
      <c r="AK129" s="391">
        <f t="shared" si="279"/>
        <v>0</v>
      </c>
      <c r="AL129" s="260" t="str">
        <f t="shared" si="255"/>
        <v>0.0%</v>
      </c>
      <c r="AM129" s="307" t="str">
        <f t="shared" si="256"/>
        <v>0.0%</v>
      </c>
      <c r="AN129" s="386"/>
      <c r="AO129" s="260" t="str">
        <f t="shared" si="280"/>
        <v>0.0%</v>
      </c>
      <c r="AP129" s="307" t="str">
        <f t="shared" si="281"/>
        <v>0.0%</v>
      </c>
      <c r="AQ129" s="386"/>
      <c r="AR129" s="260" t="str">
        <f t="shared" si="257"/>
        <v>0.0%</v>
      </c>
      <c r="AS129" s="307" t="str">
        <f t="shared" si="258"/>
        <v>0.0%</v>
      </c>
      <c r="AT129" s="386"/>
      <c r="AU129" s="260" t="str">
        <f t="shared" si="282"/>
        <v>0.0%</v>
      </c>
      <c r="AV129" s="307" t="str">
        <f t="shared" si="283"/>
        <v>0.0%</v>
      </c>
      <c r="AW129" s="391">
        <f t="shared" si="284"/>
        <v>0</v>
      </c>
      <c r="AX129" s="260" t="str">
        <f t="shared" si="259"/>
        <v>0.0%</v>
      </c>
      <c r="AY129" s="307" t="str">
        <f t="shared" si="260"/>
        <v>0.0%</v>
      </c>
      <c r="AZ129" s="391">
        <f t="shared" si="285"/>
        <v>0</v>
      </c>
      <c r="BA129" s="260" t="str">
        <f t="shared" si="261"/>
        <v>0.0%</v>
      </c>
      <c r="BB129" s="261" t="str">
        <f t="shared" si="262"/>
        <v>0.0%</v>
      </c>
      <c r="BC129" s="391">
        <f t="shared" si="286"/>
        <v>0</v>
      </c>
      <c r="BD129" s="260" t="str">
        <f t="shared" si="287"/>
        <v>0.0%</v>
      </c>
      <c r="BE129" s="261" t="str">
        <f t="shared" si="288"/>
        <v>0.0%</v>
      </c>
      <c r="BF129" s="391">
        <f t="shared" si="289"/>
        <v>0</v>
      </c>
      <c r="BG129" s="260" t="str">
        <f t="shared" si="290"/>
        <v>0.0%</v>
      </c>
      <c r="BH129" s="261" t="str">
        <f t="shared" si="291"/>
        <v>0.0%</v>
      </c>
      <c r="BI129" s="391">
        <f t="shared" si="292"/>
        <v>0</v>
      </c>
      <c r="BJ129" s="260" t="str">
        <f t="shared" si="293"/>
        <v>0.0%</v>
      </c>
      <c r="BK129" s="261" t="str">
        <f t="shared" si="294"/>
        <v>0.0%</v>
      </c>
      <c r="BL129" s="391">
        <f t="shared" si="295"/>
        <v>0</v>
      </c>
      <c r="BM129" s="307" t="str">
        <f t="shared" si="296"/>
        <v>0.0%</v>
      </c>
    </row>
    <row r="130" spans="1:65" s="233" customFormat="1" ht="12" x14ac:dyDescent="0.2">
      <c r="A130" s="247" t="s">
        <v>271</v>
      </c>
      <c r="B130" s="386"/>
      <c r="C130" s="387">
        <f t="shared" si="263"/>
        <v>0</v>
      </c>
      <c r="D130" s="386"/>
      <c r="E130" s="260" t="str">
        <f t="shared" si="246"/>
        <v>0.0%</v>
      </c>
      <c r="F130" s="261" t="str">
        <f t="shared" si="264"/>
        <v>0.0%</v>
      </c>
      <c r="G130" s="386"/>
      <c r="H130" s="260" t="str">
        <f t="shared" si="265"/>
        <v>0.0%</v>
      </c>
      <c r="I130" s="261" t="str">
        <f t="shared" si="266"/>
        <v>0.0%</v>
      </c>
      <c r="J130" s="386"/>
      <c r="K130" s="303" t="str">
        <f t="shared" si="247"/>
        <v>0.0%</v>
      </c>
      <c r="L130" s="282" t="str">
        <f t="shared" si="248"/>
        <v>0.0%</v>
      </c>
      <c r="M130" s="391">
        <f t="shared" si="267"/>
        <v>0</v>
      </c>
      <c r="N130" s="303" t="str">
        <f t="shared" si="268"/>
        <v>0.0%</v>
      </c>
      <c r="O130" s="283" t="str">
        <f t="shared" si="269"/>
        <v>0.0%</v>
      </c>
      <c r="P130" s="386"/>
      <c r="Q130" s="260" t="str">
        <f t="shared" si="270"/>
        <v>0.0%</v>
      </c>
      <c r="R130" s="261" t="str">
        <f t="shared" si="271"/>
        <v>0.0%</v>
      </c>
      <c r="S130" s="386"/>
      <c r="T130" s="260" t="str">
        <f t="shared" si="249"/>
        <v>0.0%</v>
      </c>
      <c r="U130" s="307" t="str">
        <f t="shared" si="250"/>
        <v>0.0%</v>
      </c>
      <c r="V130" s="386"/>
      <c r="W130" s="260" t="str">
        <f t="shared" si="272"/>
        <v>0.0%</v>
      </c>
      <c r="X130" s="307" t="str">
        <f t="shared" si="273"/>
        <v>0.0%</v>
      </c>
      <c r="Y130" s="391">
        <f t="shared" si="274"/>
        <v>0</v>
      </c>
      <c r="Z130" s="260" t="str">
        <f t="shared" si="275"/>
        <v>0.0%</v>
      </c>
      <c r="AA130" s="307" t="str">
        <f t="shared" si="276"/>
        <v>0.0%</v>
      </c>
      <c r="AB130" s="386"/>
      <c r="AC130" s="260" t="str">
        <f t="shared" si="251"/>
        <v>0.0%</v>
      </c>
      <c r="AD130" s="307" t="str">
        <f t="shared" si="252"/>
        <v>0.0%</v>
      </c>
      <c r="AE130" s="386"/>
      <c r="AF130" s="260" t="str">
        <f t="shared" si="253"/>
        <v>0.0%</v>
      </c>
      <c r="AG130" s="307" t="str">
        <f t="shared" si="254"/>
        <v>0.0%</v>
      </c>
      <c r="AH130" s="386"/>
      <c r="AI130" s="260" t="str">
        <f t="shared" si="277"/>
        <v>0.0%</v>
      </c>
      <c r="AJ130" s="307" t="str">
        <f t="shared" si="278"/>
        <v>0.0%</v>
      </c>
      <c r="AK130" s="391">
        <f t="shared" si="279"/>
        <v>0</v>
      </c>
      <c r="AL130" s="260" t="str">
        <f t="shared" si="255"/>
        <v>0.0%</v>
      </c>
      <c r="AM130" s="307" t="str">
        <f t="shared" si="256"/>
        <v>0.0%</v>
      </c>
      <c r="AN130" s="386"/>
      <c r="AO130" s="260" t="str">
        <f t="shared" si="280"/>
        <v>0.0%</v>
      </c>
      <c r="AP130" s="307" t="str">
        <f t="shared" si="281"/>
        <v>0.0%</v>
      </c>
      <c r="AQ130" s="386"/>
      <c r="AR130" s="260" t="str">
        <f t="shared" si="257"/>
        <v>0.0%</v>
      </c>
      <c r="AS130" s="307" t="str">
        <f t="shared" si="258"/>
        <v>0.0%</v>
      </c>
      <c r="AT130" s="386"/>
      <c r="AU130" s="260" t="str">
        <f t="shared" si="282"/>
        <v>0.0%</v>
      </c>
      <c r="AV130" s="307" t="str">
        <f t="shared" si="283"/>
        <v>0.0%</v>
      </c>
      <c r="AW130" s="391">
        <f t="shared" si="284"/>
        <v>0</v>
      </c>
      <c r="AX130" s="260" t="str">
        <f t="shared" si="259"/>
        <v>0.0%</v>
      </c>
      <c r="AY130" s="307" t="str">
        <f t="shared" si="260"/>
        <v>0.0%</v>
      </c>
      <c r="AZ130" s="391">
        <f t="shared" si="285"/>
        <v>0</v>
      </c>
      <c r="BA130" s="260" t="str">
        <f t="shared" si="261"/>
        <v>0.0%</v>
      </c>
      <c r="BB130" s="261" t="str">
        <f t="shared" si="262"/>
        <v>0.0%</v>
      </c>
      <c r="BC130" s="391">
        <f t="shared" si="286"/>
        <v>0</v>
      </c>
      <c r="BD130" s="260" t="str">
        <f t="shared" si="287"/>
        <v>0.0%</v>
      </c>
      <c r="BE130" s="261" t="str">
        <f t="shared" si="288"/>
        <v>0.0%</v>
      </c>
      <c r="BF130" s="391">
        <f t="shared" si="289"/>
        <v>0</v>
      </c>
      <c r="BG130" s="260" t="str">
        <f t="shared" si="290"/>
        <v>0.0%</v>
      </c>
      <c r="BH130" s="261" t="str">
        <f t="shared" si="291"/>
        <v>0.0%</v>
      </c>
      <c r="BI130" s="391">
        <f t="shared" si="292"/>
        <v>0</v>
      </c>
      <c r="BJ130" s="260" t="str">
        <f t="shared" si="293"/>
        <v>0.0%</v>
      </c>
      <c r="BK130" s="261" t="str">
        <f t="shared" si="294"/>
        <v>0.0%</v>
      </c>
      <c r="BL130" s="391">
        <f t="shared" si="295"/>
        <v>0</v>
      </c>
      <c r="BM130" s="307" t="str">
        <f t="shared" si="296"/>
        <v>0.0%</v>
      </c>
    </row>
    <row r="131" spans="1:65" s="233" customFormat="1" ht="12" x14ac:dyDescent="0.2">
      <c r="A131" s="246" t="s">
        <v>272</v>
      </c>
      <c r="B131" s="386"/>
      <c r="C131" s="387">
        <f t="shared" si="263"/>
        <v>0</v>
      </c>
      <c r="D131" s="386"/>
      <c r="E131" s="260" t="str">
        <f t="shared" si="246"/>
        <v>0.0%</v>
      </c>
      <c r="F131" s="261" t="str">
        <f t="shared" si="264"/>
        <v>0.0%</v>
      </c>
      <c r="G131" s="386"/>
      <c r="H131" s="260" t="str">
        <f t="shared" si="265"/>
        <v>0.0%</v>
      </c>
      <c r="I131" s="261" t="str">
        <f t="shared" si="266"/>
        <v>0.0%</v>
      </c>
      <c r="J131" s="386"/>
      <c r="K131" s="303" t="str">
        <f t="shared" si="247"/>
        <v>0.0%</v>
      </c>
      <c r="L131" s="282" t="str">
        <f t="shared" si="248"/>
        <v>0.0%</v>
      </c>
      <c r="M131" s="391">
        <f t="shared" si="267"/>
        <v>0</v>
      </c>
      <c r="N131" s="303" t="str">
        <f t="shared" si="268"/>
        <v>0.0%</v>
      </c>
      <c r="O131" s="283" t="str">
        <f t="shared" si="269"/>
        <v>0.0%</v>
      </c>
      <c r="P131" s="386"/>
      <c r="Q131" s="260" t="str">
        <f t="shared" si="270"/>
        <v>0.0%</v>
      </c>
      <c r="R131" s="261" t="str">
        <f t="shared" si="271"/>
        <v>0.0%</v>
      </c>
      <c r="S131" s="386"/>
      <c r="T131" s="260" t="str">
        <f t="shared" si="249"/>
        <v>0.0%</v>
      </c>
      <c r="U131" s="307" t="str">
        <f t="shared" si="250"/>
        <v>0.0%</v>
      </c>
      <c r="V131" s="386"/>
      <c r="W131" s="260" t="str">
        <f t="shared" si="272"/>
        <v>0.0%</v>
      </c>
      <c r="X131" s="307" t="str">
        <f t="shared" si="273"/>
        <v>0.0%</v>
      </c>
      <c r="Y131" s="391">
        <f t="shared" si="274"/>
        <v>0</v>
      </c>
      <c r="Z131" s="260" t="str">
        <f t="shared" si="275"/>
        <v>0.0%</v>
      </c>
      <c r="AA131" s="307" t="str">
        <f t="shared" si="276"/>
        <v>0.0%</v>
      </c>
      <c r="AB131" s="386"/>
      <c r="AC131" s="260" t="str">
        <f t="shared" si="251"/>
        <v>0.0%</v>
      </c>
      <c r="AD131" s="307" t="str">
        <f t="shared" si="252"/>
        <v>0.0%</v>
      </c>
      <c r="AE131" s="386"/>
      <c r="AF131" s="260" t="str">
        <f t="shared" si="253"/>
        <v>0.0%</v>
      </c>
      <c r="AG131" s="307" t="str">
        <f t="shared" si="254"/>
        <v>0.0%</v>
      </c>
      <c r="AH131" s="386"/>
      <c r="AI131" s="260" t="str">
        <f t="shared" si="277"/>
        <v>0.0%</v>
      </c>
      <c r="AJ131" s="307" t="str">
        <f t="shared" si="278"/>
        <v>0.0%</v>
      </c>
      <c r="AK131" s="391">
        <f t="shared" si="279"/>
        <v>0</v>
      </c>
      <c r="AL131" s="260" t="str">
        <f t="shared" si="255"/>
        <v>0.0%</v>
      </c>
      <c r="AM131" s="307" t="str">
        <f t="shared" si="256"/>
        <v>0.0%</v>
      </c>
      <c r="AN131" s="386"/>
      <c r="AO131" s="260" t="str">
        <f t="shared" si="280"/>
        <v>0.0%</v>
      </c>
      <c r="AP131" s="307" t="str">
        <f t="shared" si="281"/>
        <v>0.0%</v>
      </c>
      <c r="AQ131" s="386"/>
      <c r="AR131" s="260" t="str">
        <f t="shared" si="257"/>
        <v>0.0%</v>
      </c>
      <c r="AS131" s="307" t="str">
        <f t="shared" si="258"/>
        <v>0.0%</v>
      </c>
      <c r="AT131" s="386"/>
      <c r="AU131" s="260" t="str">
        <f t="shared" si="282"/>
        <v>0.0%</v>
      </c>
      <c r="AV131" s="307" t="str">
        <f t="shared" si="283"/>
        <v>0.0%</v>
      </c>
      <c r="AW131" s="391">
        <f t="shared" si="284"/>
        <v>0</v>
      </c>
      <c r="AX131" s="260" t="str">
        <f t="shared" si="259"/>
        <v>0.0%</v>
      </c>
      <c r="AY131" s="307" t="str">
        <f t="shared" si="260"/>
        <v>0.0%</v>
      </c>
      <c r="AZ131" s="391">
        <f t="shared" si="285"/>
        <v>0</v>
      </c>
      <c r="BA131" s="260" t="str">
        <f t="shared" si="261"/>
        <v>0.0%</v>
      </c>
      <c r="BB131" s="261" t="str">
        <f t="shared" si="262"/>
        <v>0.0%</v>
      </c>
      <c r="BC131" s="391">
        <f t="shared" si="286"/>
        <v>0</v>
      </c>
      <c r="BD131" s="260" t="str">
        <f t="shared" si="287"/>
        <v>0.0%</v>
      </c>
      <c r="BE131" s="261" t="str">
        <f t="shared" si="288"/>
        <v>0.0%</v>
      </c>
      <c r="BF131" s="391">
        <f t="shared" si="289"/>
        <v>0</v>
      </c>
      <c r="BG131" s="260" t="str">
        <f t="shared" si="290"/>
        <v>0.0%</v>
      </c>
      <c r="BH131" s="261" t="str">
        <f t="shared" si="291"/>
        <v>0.0%</v>
      </c>
      <c r="BI131" s="391">
        <f t="shared" si="292"/>
        <v>0</v>
      </c>
      <c r="BJ131" s="260" t="str">
        <f t="shared" si="293"/>
        <v>0.0%</v>
      </c>
      <c r="BK131" s="261" t="str">
        <f t="shared" si="294"/>
        <v>0.0%</v>
      </c>
      <c r="BL131" s="391">
        <f t="shared" si="295"/>
        <v>0</v>
      </c>
      <c r="BM131" s="307" t="str">
        <f t="shared" si="296"/>
        <v>0.0%</v>
      </c>
    </row>
    <row r="132" spans="1:65" s="233" customFormat="1" ht="12" x14ac:dyDescent="0.2">
      <c r="A132" s="242" t="s">
        <v>273</v>
      </c>
      <c r="B132" s="386"/>
      <c r="C132" s="387">
        <f t="shared" si="263"/>
        <v>0</v>
      </c>
      <c r="D132" s="386"/>
      <c r="E132" s="260" t="str">
        <f t="shared" si="246"/>
        <v>0.0%</v>
      </c>
      <c r="F132" s="261" t="str">
        <f t="shared" si="264"/>
        <v>0.0%</v>
      </c>
      <c r="G132" s="386"/>
      <c r="H132" s="260" t="str">
        <f t="shared" si="265"/>
        <v>0.0%</v>
      </c>
      <c r="I132" s="261" t="str">
        <f t="shared" si="266"/>
        <v>0.0%</v>
      </c>
      <c r="J132" s="386"/>
      <c r="K132" s="303" t="str">
        <f t="shared" si="247"/>
        <v>0.0%</v>
      </c>
      <c r="L132" s="282" t="str">
        <f t="shared" si="248"/>
        <v>0.0%</v>
      </c>
      <c r="M132" s="391">
        <f t="shared" si="267"/>
        <v>0</v>
      </c>
      <c r="N132" s="303" t="str">
        <f t="shared" si="268"/>
        <v>0.0%</v>
      </c>
      <c r="O132" s="283" t="str">
        <f t="shared" si="269"/>
        <v>0.0%</v>
      </c>
      <c r="P132" s="386"/>
      <c r="Q132" s="260" t="str">
        <f t="shared" si="270"/>
        <v>0.0%</v>
      </c>
      <c r="R132" s="261" t="str">
        <f t="shared" si="271"/>
        <v>0.0%</v>
      </c>
      <c r="S132" s="386"/>
      <c r="T132" s="260" t="str">
        <f t="shared" si="249"/>
        <v>0.0%</v>
      </c>
      <c r="U132" s="307" t="str">
        <f t="shared" si="250"/>
        <v>0.0%</v>
      </c>
      <c r="V132" s="386"/>
      <c r="W132" s="260" t="str">
        <f t="shared" si="272"/>
        <v>0.0%</v>
      </c>
      <c r="X132" s="307" t="str">
        <f t="shared" si="273"/>
        <v>0.0%</v>
      </c>
      <c r="Y132" s="391">
        <f t="shared" si="274"/>
        <v>0</v>
      </c>
      <c r="Z132" s="260" t="str">
        <f t="shared" si="275"/>
        <v>0.0%</v>
      </c>
      <c r="AA132" s="307" t="str">
        <f t="shared" si="276"/>
        <v>0.0%</v>
      </c>
      <c r="AB132" s="386"/>
      <c r="AC132" s="260" t="str">
        <f t="shared" si="251"/>
        <v>0.0%</v>
      </c>
      <c r="AD132" s="307" t="str">
        <f t="shared" si="252"/>
        <v>0.0%</v>
      </c>
      <c r="AE132" s="386"/>
      <c r="AF132" s="260" t="str">
        <f t="shared" si="253"/>
        <v>0.0%</v>
      </c>
      <c r="AG132" s="307" t="str">
        <f t="shared" si="254"/>
        <v>0.0%</v>
      </c>
      <c r="AH132" s="386"/>
      <c r="AI132" s="260" t="str">
        <f t="shared" si="277"/>
        <v>0.0%</v>
      </c>
      <c r="AJ132" s="307" t="str">
        <f t="shared" si="278"/>
        <v>0.0%</v>
      </c>
      <c r="AK132" s="391">
        <f t="shared" si="279"/>
        <v>0</v>
      </c>
      <c r="AL132" s="260" t="str">
        <f t="shared" si="255"/>
        <v>0.0%</v>
      </c>
      <c r="AM132" s="307" t="str">
        <f t="shared" si="256"/>
        <v>0.0%</v>
      </c>
      <c r="AN132" s="386"/>
      <c r="AO132" s="260" t="str">
        <f t="shared" si="280"/>
        <v>0.0%</v>
      </c>
      <c r="AP132" s="307" t="str">
        <f t="shared" si="281"/>
        <v>0.0%</v>
      </c>
      <c r="AQ132" s="386"/>
      <c r="AR132" s="260" t="str">
        <f t="shared" si="257"/>
        <v>0.0%</v>
      </c>
      <c r="AS132" s="307" t="str">
        <f t="shared" si="258"/>
        <v>0.0%</v>
      </c>
      <c r="AT132" s="386"/>
      <c r="AU132" s="260" t="str">
        <f t="shared" si="282"/>
        <v>0.0%</v>
      </c>
      <c r="AV132" s="307" t="str">
        <f t="shared" si="283"/>
        <v>0.0%</v>
      </c>
      <c r="AW132" s="391">
        <f t="shared" si="284"/>
        <v>0</v>
      </c>
      <c r="AX132" s="260" t="str">
        <f t="shared" si="259"/>
        <v>0.0%</v>
      </c>
      <c r="AY132" s="307" t="str">
        <f t="shared" si="260"/>
        <v>0.0%</v>
      </c>
      <c r="AZ132" s="391">
        <f t="shared" si="285"/>
        <v>0</v>
      </c>
      <c r="BA132" s="260" t="str">
        <f t="shared" si="261"/>
        <v>0.0%</v>
      </c>
      <c r="BB132" s="261" t="str">
        <f t="shared" si="262"/>
        <v>0.0%</v>
      </c>
      <c r="BC132" s="391">
        <f t="shared" si="286"/>
        <v>0</v>
      </c>
      <c r="BD132" s="260" t="str">
        <f t="shared" si="287"/>
        <v>0.0%</v>
      </c>
      <c r="BE132" s="261" t="str">
        <f t="shared" si="288"/>
        <v>0.0%</v>
      </c>
      <c r="BF132" s="391">
        <f t="shared" si="289"/>
        <v>0</v>
      </c>
      <c r="BG132" s="260" t="str">
        <f t="shared" si="290"/>
        <v>0.0%</v>
      </c>
      <c r="BH132" s="261" t="str">
        <f t="shared" si="291"/>
        <v>0.0%</v>
      </c>
      <c r="BI132" s="391">
        <f t="shared" si="292"/>
        <v>0</v>
      </c>
      <c r="BJ132" s="260" t="str">
        <f t="shared" si="293"/>
        <v>0.0%</v>
      </c>
      <c r="BK132" s="261" t="str">
        <f t="shared" si="294"/>
        <v>0.0%</v>
      </c>
      <c r="BL132" s="391">
        <f t="shared" si="295"/>
        <v>0</v>
      </c>
      <c r="BM132" s="307" t="str">
        <f t="shared" si="296"/>
        <v>0.0%</v>
      </c>
    </row>
    <row r="133" spans="1:65" s="233" customFormat="1" ht="12" x14ac:dyDescent="0.2">
      <c r="A133" s="242" t="s">
        <v>507</v>
      </c>
      <c r="B133" s="386"/>
      <c r="C133" s="387">
        <f t="shared" si="263"/>
        <v>0</v>
      </c>
      <c r="D133" s="386"/>
      <c r="E133" s="260" t="str">
        <f t="shared" si="246"/>
        <v>0.0%</v>
      </c>
      <c r="F133" s="261" t="str">
        <f t="shared" si="264"/>
        <v>0.0%</v>
      </c>
      <c r="G133" s="386"/>
      <c r="H133" s="260" t="str">
        <f t="shared" si="265"/>
        <v>0.0%</v>
      </c>
      <c r="I133" s="261" t="str">
        <f t="shared" si="266"/>
        <v>0.0%</v>
      </c>
      <c r="J133" s="386"/>
      <c r="K133" s="303" t="str">
        <f t="shared" si="247"/>
        <v>0.0%</v>
      </c>
      <c r="L133" s="282" t="str">
        <f t="shared" si="248"/>
        <v>0.0%</v>
      </c>
      <c r="M133" s="391">
        <f t="shared" si="267"/>
        <v>0</v>
      </c>
      <c r="N133" s="303" t="str">
        <f t="shared" si="268"/>
        <v>0.0%</v>
      </c>
      <c r="O133" s="283" t="str">
        <f t="shared" si="269"/>
        <v>0.0%</v>
      </c>
      <c r="P133" s="386"/>
      <c r="Q133" s="260" t="str">
        <f t="shared" si="270"/>
        <v>0.0%</v>
      </c>
      <c r="R133" s="261" t="str">
        <f t="shared" si="271"/>
        <v>0.0%</v>
      </c>
      <c r="S133" s="386"/>
      <c r="T133" s="260" t="str">
        <f t="shared" si="249"/>
        <v>0.0%</v>
      </c>
      <c r="U133" s="307" t="str">
        <f t="shared" si="250"/>
        <v>0.0%</v>
      </c>
      <c r="V133" s="386"/>
      <c r="W133" s="260" t="str">
        <f t="shared" si="272"/>
        <v>0.0%</v>
      </c>
      <c r="X133" s="307" t="str">
        <f t="shared" si="273"/>
        <v>0.0%</v>
      </c>
      <c r="Y133" s="391">
        <f t="shared" si="274"/>
        <v>0</v>
      </c>
      <c r="Z133" s="260" t="str">
        <f t="shared" si="275"/>
        <v>0.0%</v>
      </c>
      <c r="AA133" s="307" t="str">
        <f t="shared" si="276"/>
        <v>0.0%</v>
      </c>
      <c r="AB133" s="386"/>
      <c r="AC133" s="260" t="str">
        <f t="shared" si="251"/>
        <v>0.0%</v>
      </c>
      <c r="AD133" s="307" t="str">
        <f t="shared" si="252"/>
        <v>0.0%</v>
      </c>
      <c r="AE133" s="386"/>
      <c r="AF133" s="260" t="str">
        <f t="shared" si="253"/>
        <v>0.0%</v>
      </c>
      <c r="AG133" s="307" t="str">
        <f t="shared" si="254"/>
        <v>0.0%</v>
      </c>
      <c r="AH133" s="386"/>
      <c r="AI133" s="260" t="str">
        <f t="shared" si="277"/>
        <v>0.0%</v>
      </c>
      <c r="AJ133" s="307" t="str">
        <f t="shared" si="278"/>
        <v>0.0%</v>
      </c>
      <c r="AK133" s="391">
        <f t="shared" si="279"/>
        <v>0</v>
      </c>
      <c r="AL133" s="260" t="str">
        <f t="shared" si="255"/>
        <v>0.0%</v>
      </c>
      <c r="AM133" s="307" t="str">
        <f t="shared" si="256"/>
        <v>0.0%</v>
      </c>
      <c r="AN133" s="386"/>
      <c r="AO133" s="260" t="str">
        <f t="shared" si="280"/>
        <v>0.0%</v>
      </c>
      <c r="AP133" s="307" t="str">
        <f t="shared" si="281"/>
        <v>0.0%</v>
      </c>
      <c r="AQ133" s="386"/>
      <c r="AR133" s="260" t="str">
        <f t="shared" si="257"/>
        <v>0.0%</v>
      </c>
      <c r="AS133" s="307" t="str">
        <f t="shared" si="258"/>
        <v>0.0%</v>
      </c>
      <c r="AT133" s="386"/>
      <c r="AU133" s="260" t="str">
        <f t="shared" si="282"/>
        <v>0.0%</v>
      </c>
      <c r="AV133" s="307" t="str">
        <f t="shared" si="283"/>
        <v>0.0%</v>
      </c>
      <c r="AW133" s="391">
        <f t="shared" si="284"/>
        <v>0</v>
      </c>
      <c r="AX133" s="260" t="str">
        <f t="shared" si="259"/>
        <v>0.0%</v>
      </c>
      <c r="AY133" s="307" t="str">
        <f t="shared" si="260"/>
        <v>0.0%</v>
      </c>
      <c r="AZ133" s="391">
        <f t="shared" si="285"/>
        <v>0</v>
      </c>
      <c r="BA133" s="260" t="str">
        <f t="shared" si="261"/>
        <v>0.0%</v>
      </c>
      <c r="BB133" s="261" t="str">
        <f t="shared" si="262"/>
        <v>0.0%</v>
      </c>
      <c r="BC133" s="391">
        <f t="shared" si="286"/>
        <v>0</v>
      </c>
      <c r="BD133" s="260" t="str">
        <f t="shared" si="287"/>
        <v>0.0%</v>
      </c>
      <c r="BE133" s="261" t="str">
        <f t="shared" si="288"/>
        <v>0.0%</v>
      </c>
      <c r="BF133" s="391">
        <f t="shared" si="289"/>
        <v>0</v>
      </c>
      <c r="BG133" s="260" t="str">
        <f t="shared" si="290"/>
        <v>0.0%</v>
      </c>
      <c r="BH133" s="261" t="str">
        <f t="shared" si="291"/>
        <v>0.0%</v>
      </c>
      <c r="BI133" s="391">
        <f t="shared" si="292"/>
        <v>0</v>
      </c>
      <c r="BJ133" s="260" t="str">
        <f t="shared" si="293"/>
        <v>0.0%</v>
      </c>
      <c r="BK133" s="261" t="str">
        <f t="shared" si="294"/>
        <v>0.0%</v>
      </c>
      <c r="BL133" s="391">
        <f t="shared" si="295"/>
        <v>0</v>
      </c>
      <c r="BM133" s="307" t="str">
        <f t="shared" si="296"/>
        <v>0.0%</v>
      </c>
    </row>
    <row r="134" spans="1:65" s="233" customFormat="1" ht="12" x14ac:dyDescent="0.2">
      <c r="A134" s="242" t="s">
        <v>274</v>
      </c>
      <c r="B134" s="386"/>
      <c r="C134" s="387">
        <f t="shared" si="263"/>
        <v>0</v>
      </c>
      <c r="D134" s="386"/>
      <c r="E134" s="260" t="str">
        <f t="shared" si="246"/>
        <v>0.0%</v>
      </c>
      <c r="F134" s="261" t="str">
        <f t="shared" si="264"/>
        <v>0.0%</v>
      </c>
      <c r="G134" s="386"/>
      <c r="H134" s="260" t="str">
        <f t="shared" si="265"/>
        <v>0.0%</v>
      </c>
      <c r="I134" s="261" t="str">
        <f t="shared" si="266"/>
        <v>0.0%</v>
      </c>
      <c r="J134" s="386"/>
      <c r="K134" s="303" t="str">
        <f t="shared" si="247"/>
        <v>0.0%</v>
      </c>
      <c r="L134" s="282" t="str">
        <f t="shared" si="248"/>
        <v>0.0%</v>
      </c>
      <c r="M134" s="391">
        <f t="shared" si="267"/>
        <v>0</v>
      </c>
      <c r="N134" s="303" t="str">
        <f t="shared" si="268"/>
        <v>0.0%</v>
      </c>
      <c r="O134" s="283" t="str">
        <f t="shared" si="269"/>
        <v>0.0%</v>
      </c>
      <c r="P134" s="386"/>
      <c r="Q134" s="260" t="str">
        <f t="shared" si="270"/>
        <v>0.0%</v>
      </c>
      <c r="R134" s="261" t="str">
        <f t="shared" si="271"/>
        <v>0.0%</v>
      </c>
      <c r="S134" s="386"/>
      <c r="T134" s="260" t="str">
        <f t="shared" si="249"/>
        <v>0.0%</v>
      </c>
      <c r="U134" s="307" t="str">
        <f t="shared" si="250"/>
        <v>0.0%</v>
      </c>
      <c r="V134" s="386"/>
      <c r="W134" s="260" t="str">
        <f t="shared" si="272"/>
        <v>0.0%</v>
      </c>
      <c r="X134" s="307" t="str">
        <f t="shared" si="273"/>
        <v>0.0%</v>
      </c>
      <c r="Y134" s="391">
        <f t="shared" si="274"/>
        <v>0</v>
      </c>
      <c r="Z134" s="260" t="str">
        <f t="shared" si="275"/>
        <v>0.0%</v>
      </c>
      <c r="AA134" s="307" t="str">
        <f t="shared" si="276"/>
        <v>0.0%</v>
      </c>
      <c r="AB134" s="386"/>
      <c r="AC134" s="260" t="str">
        <f t="shared" si="251"/>
        <v>0.0%</v>
      </c>
      <c r="AD134" s="307" t="str">
        <f t="shared" si="252"/>
        <v>0.0%</v>
      </c>
      <c r="AE134" s="386"/>
      <c r="AF134" s="260" t="str">
        <f t="shared" si="253"/>
        <v>0.0%</v>
      </c>
      <c r="AG134" s="307" t="str">
        <f t="shared" si="254"/>
        <v>0.0%</v>
      </c>
      <c r="AH134" s="386"/>
      <c r="AI134" s="260" t="str">
        <f t="shared" si="277"/>
        <v>0.0%</v>
      </c>
      <c r="AJ134" s="307" t="str">
        <f t="shared" si="278"/>
        <v>0.0%</v>
      </c>
      <c r="AK134" s="391">
        <f t="shared" si="279"/>
        <v>0</v>
      </c>
      <c r="AL134" s="260" t="str">
        <f t="shared" si="255"/>
        <v>0.0%</v>
      </c>
      <c r="AM134" s="307" t="str">
        <f t="shared" si="256"/>
        <v>0.0%</v>
      </c>
      <c r="AN134" s="386"/>
      <c r="AO134" s="260" t="str">
        <f t="shared" si="280"/>
        <v>0.0%</v>
      </c>
      <c r="AP134" s="307" t="str">
        <f t="shared" si="281"/>
        <v>0.0%</v>
      </c>
      <c r="AQ134" s="386"/>
      <c r="AR134" s="260" t="str">
        <f t="shared" si="257"/>
        <v>0.0%</v>
      </c>
      <c r="AS134" s="307" t="str">
        <f t="shared" si="258"/>
        <v>0.0%</v>
      </c>
      <c r="AT134" s="386"/>
      <c r="AU134" s="260" t="str">
        <f t="shared" si="282"/>
        <v>0.0%</v>
      </c>
      <c r="AV134" s="307" t="str">
        <f t="shared" si="283"/>
        <v>0.0%</v>
      </c>
      <c r="AW134" s="391">
        <f t="shared" si="284"/>
        <v>0</v>
      </c>
      <c r="AX134" s="260" t="str">
        <f t="shared" si="259"/>
        <v>0.0%</v>
      </c>
      <c r="AY134" s="307" t="str">
        <f t="shared" si="260"/>
        <v>0.0%</v>
      </c>
      <c r="AZ134" s="391">
        <f t="shared" si="285"/>
        <v>0</v>
      </c>
      <c r="BA134" s="260" t="str">
        <f t="shared" si="261"/>
        <v>0.0%</v>
      </c>
      <c r="BB134" s="261" t="str">
        <f t="shared" si="262"/>
        <v>0.0%</v>
      </c>
      <c r="BC134" s="391">
        <f t="shared" si="286"/>
        <v>0</v>
      </c>
      <c r="BD134" s="260" t="str">
        <f t="shared" si="287"/>
        <v>0.0%</v>
      </c>
      <c r="BE134" s="261" t="str">
        <f t="shared" si="288"/>
        <v>0.0%</v>
      </c>
      <c r="BF134" s="391">
        <f t="shared" si="289"/>
        <v>0</v>
      </c>
      <c r="BG134" s="260" t="str">
        <f t="shared" si="290"/>
        <v>0.0%</v>
      </c>
      <c r="BH134" s="261" t="str">
        <f t="shared" si="291"/>
        <v>0.0%</v>
      </c>
      <c r="BI134" s="391">
        <f t="shared" si="292"/>
        <v>0</v>
      </c>
      <c r="BJ134" s="260" t="str">
        <f t="shared" si="293"/>
        <v>0.0%</v>
      </c>
      <c r="BK134" s="261" t="str">
        <f t="shared" si="294"/>
        <v>0.0%</v>
      </c>
      <c r="BL134" s="391">
        <f t="shared" si="295"/>
        <v>0</v>
      </c>
      <c r="BM134" s="307" t="str">
        <f t="shared" si="296"/>
        <v>0.0%</v>
      </c>
    </row>
    <row r="135" spans="1:65" s="233" customFormat="1" ht="12.75" customHeight="1" thickBot="1" x14ac:dyDescent="0.25">
      <c r="A135" s="243" t="s">
        <v>519</v>
      </c>
      <c r="B135" s="393"/>
      <c r="C135" s="394">
        <f t="shared" si="263"/>
        <v>0</v>
      </c>
      <c r="D135" s="393"/>
      <c r="E135" s="262" t="str">
        <f t="shared" si="246"/>
        <v>0.0%</v>
      </c>
      <c r="F135" s="263" t="str">
        <f t="shared" si="264"/>
        <v>0.0%</v>
      </c>
      <c r="G135" s="397"/>
      <c r="H135" s="308" t="str">
        <f t="shared" si="265"/>
        <v>0.0%</v>
      </c>
      <c r="I135" s="310" t="str">
        <f t="shared" si="266"/>
        <v>0.0%</v>
      </c>
      <c r="J135" s="397"/>
      <c r="K135" s="343" t="str">
        <f t="shared" si="247"/>
        <v>0.0%</v>
      </c>
      <c r="L135" s="284" t="str">
        <f t="shared" si="248"/>
        <v>0.0%</v>
      </c>
      <c r="M135" s="436">
        <f t="shared" si="267"/>
        <v>0</v>
      </c>
      <c r="N135" s="343" t="str">
        <f t="shared" si="268"/>
        <v>0.0%</v>
      </c>
      <c r="O135" s="285" t="str">
        <f t="shared" si="269"/>
        <v>0.0%</v>
      </c>
      <c r="P135" s="397"/>
      <c r="Q135" s="308" t="str">
        <f t="shared" si="270"/>
        <v>0.0%</v>
      </c>
      <c r="R135" s="310" t="str">
        <f t="shared" si="271"/>
        <v>0.0%</v>
      </c>
      <c r="S135" s="397"/>
      <c r="T135" s="308" t="str">
        <f t="shared" si="249"/>
        <v>0.0%</v>
      </c>
      <c r="U135" s="309" t="str">
        <f t="shared" si="250"/>
        <v>0.0%</v>
      </c>
      <c r="V135" s="397"/>
      <c r="W135" s="308" t="str">
        <f t="shared" si="272"/>
        <v>0.0%</v>
      </c>
      <c r="X135" s="309" t="str">
        <f t="shared" si="273"/>
        <v>0.0%</v>
      </c>
      <c r="Y135" s="436">
        <f t="shared" si="274"/>
        <v>0</v>
      </c>
      <c r="Z135" s="308" t="str">
        <f t="shared" si="275"/>
        <v>0.0%</v>
      </c>
      <c r="AA135" s="309" t="str">
        <f t="shared" si="276"/>
        <v>0.0%</v>
      </c>
      <c r="AB135" s="397"/>
      <c r="AC135" s="308" t="str">
        <f t="shared" si="251"/>
        <v>0.0%</v>
      </c>
      <c r="AD135" s="309" t="str">
        <f t="shared" si="252"/>
        <v>0.0%</v>
      </c>
      <c r="AE135" s="397"/>
      <c r="AF135" s="308" t="str">
        <f t="shared" si="253"/>
        <v>0.0%</v>
      </c>
      <c r="AG135" s="309" t="str">
        <f t="shared" si="254"/>
        <v>0.0%</v>
      </c>
      <c r="AH135" s="397"/>
      <c r="AI135" s="308" t="str">
        <f t="shared" si="277"/>
        <v>0.0%</v>
      </c>
      <c r="AJ135" s="309" t="str">
        <f t="shared" si="278"/>
        <v>0.0%</v>
      </c>
      <c r="AK135" s="436">
        <f t="shared" si="279"/>
        <v>0</v>
      </c>
      <c r="AL135" s="308" t="str">
        <f t="shared" si="255"/>
        <v>0.0%</v>
      </c>
      <c r="AM135" s="309" t="str">
        <f t="shared" si="256"/>
        <v>0.0%</v>
      </c>
      <c r="AN135" s="397"/>
      <c r="AO135" s="308" t="str">
        <f t="shared" si="280"/>
        <v>0.0%</v>
      </c>
      <c r="AP135" s="309" t="str">
        <f t="shared" si="281"/>
        <v>0.0%</v>
      </c>
      <c r="AQ135" s="397"/>
      <c r="AR135" s="308" t="str">
        <f t="shared" si="257"/>
        <v>0.0%</v>
      </c>
      <c r="AS135" s="309" t="str">
        <f t="shared" si="258"/>
        <v>0.0%</v>
      </c>
      <c r="AT135" s="397"/>
      <c r="AU135" s="308" t="str">
        <f t="shared" si="282"/>
        <v>0.0%</v>
      </c>
      <c r="AV135" s="309" t="str">
        <f t="shared" si="283"/>
        <v>0.0%</v>
      </c>
      <c r="AW135" s="436">
        <f t="shared" si="284"/>
        <v>0</v>
      </c>
      <c r="AX135" s="308" t="str">
        <f t="shared" si="259"/>
        <v>0.0%</v>
      </c>
      <c r="AY135" s="309" t="str">
        <f t="shared" si="260"/>
        <v>0.0%</v>
      </c>
      <c r="AZ135" s="436">
        <f t="shared" si="285"/>
        <v>0</v>
      </c>
      <c r="BA135" s="308" t="str">
        <f t="shared" si="261"/>
        <v>0.0%</v>
      </c>
      <c r="BB135" s="310" t="str">
        <f t="shared" si="262"/>
        <v>0.0%</v>
      </c>
      <c r="BC135" s="436">
        <f t="shared" si="286"/>
        <v>0</v>
      </c>
      <c r="BD135" s="308" t="str">
        <f t="shared" si="287"/>
        <v>0.0%</v>
      </c>
      <c r="BE135" s="310" t="str">
        <f t="shared" si="288"/>
        <v>0.0%</v>
      </c>
      <c r="BF135" s="436">
        <f t="shared" si="289"/>
        <v>0</v>
      </c>
      <c r="BG135" s="308" t="str">
        <f t="shared" si="290"/>
        <v>0.0%</v>
      </c>
      <c r="BH135" s="310" t="str">
        <f t="shared" si="291"/>
        <v>0.0%</v>
      </c>
      <c r="BI135" s="436">
        <f t="shared" si="292"/>
        <v>0</v>
      </c>
      <c r="BJ135" s="308" t="str">
        <f t="shared" si="293"/>
        <v>0.0%</v>
      </c>
      <c r="BK135" s="310" t="str">
        <f t="shared" si="294"/>
        <v>0.0%</v>
      </c>
      <c r="BL135" s="399">
        <f t="shared" si="295"/>
        <v>0</v>
      </c>
      <c r="BM135" s="313" t="str">
        <f t="shared" si="296"/>
        <v>0.0%</v>
      </c>
    </row>
    <row r="136" spans="1:65" s="233" customFormat="1" ht="12" x14ac:dyDescent="0.2">
      <c r="A136" s="250"/>
      <c r="B136" s="401"/>
      <c r="C136" s="402"/>
      <c r="D136" s="401"/>
      <c r="E136" s="290"/>
      <c r="F136" s="291"/>
      <c r="G136" s="401"/>
      <c r="H136" s="290"/>
      <c r="I136" s="291"/>
      <c r="J136" s="401"/>
      <c r="K136" s="290"/>
      <c r="L136" s="291"/>
      <c r="M136" s="401"/>
      <c r="N136" s="290"/>
      <c r="O136" s="291"/>
      <c r="P136" s="401"/>
      <c r="Q136" s="290"/>
      <c r="R136" s="291"/>
      <c r="S136" s="401"/>
      <c r="T136" s="290"/>
      <c r="U136" s="291"/>
      <c r="V136" s="401"/>
      <c r="W136" s="290"/>
      <c r="X136" s="291"/>
      <c r="Y136" s="401"/>
      <c r="Z136" s="290"/>
      <c r="AA136" s="291"/>
      <c r="AB136" s="401"/>
      <c r="AC136" s="290"/>
      <c r="AD136" s="291"/>
      <c r="AE136" s="401"/>
      <c r="AF136" s="290"/>
      <c r="AG136" s="291"/>
      <c r="AH136" s="401"/>
      <c r="AI136" s="290"/>
      <c r="AJ136" s="291"/>
      <c r="AK136" s="401"/>
      <c r="AL136" s="290"/>
      <c r="AM136" s="291"/>
      <c r="AN136" s="401"/>
      <c r="AO136" s="290"/>
      <c r="AP136" s="291"/>
      <c r="AQ136" s="401"/>
      <c r="AR136" s="290"/>
      <c r="AS136" s="291"/>
      <c r="AT136" s="401"/>
      <c r="AU136" s="290"/>
      <c r="AV136" s="291"/>
      <c r="AW136" s="401"/>
      <c r="AX136" s="290"/>
      <c r="AY136" s="291"/>
      <c r="AZ136" s="401"/>
      <c r="BA136" s="290"/>
      <c r="BB136" s="291"/>
      <c r="BC136" s="401"/>
      <c r="BD136" s="290"/>
      <c r="BE136" s="291"/>
      <c r="BF136" s="401"/>
      <c r="BG136" s="290"/>
      <c r="BH136" s="291"/>
      <c r="BI136" s="401"/>
      <c r="BJ136" s="290"/>
      <c r="BK136" s="301"/>
      <c r="BL136" s="403"/>
      <c r="BM136" s="300"/>
    </row>
    <row r="137" spans="1:65" s="233" customFormat="1" ht="12" x14ac:dyDescent="0.2">
      <c r="A137" s="329" t="s">
        <v>277</v>
      </c>
      <c r="B137" s="412">
        <f>SUM(B111:B135)</f>
        <v>0</v>
      </c>
      <c r="C137" s="432">
        <f t="shared" si="263"/>
        <v>0</v>
      </c>
      <c r="D137" s="406">
        <f>SUM(D111:D135)</f>
        <v>0</v>
      </c>
      <c r="E137" s="271" t="str">
        <f>IFERROR(ROUND((D137-C137)/C137,3),"0.0%")</f>
        <v>0.0%</v>
      </c>
      <c r="F137" s="315" t="str">
        <f>IFERROR(ROUND((D137-C137)/C137,3),"0.0%")</f>
        <v>0.0%</v>
      </c>
      <c r="G137" s="406">
        <f>SUM(G111:G135)</f>
        <v>0</v>
      </c>
      <c r="H137" s="271" t="str">
        <f>IFERROR(ROUND((G137-C137)/C137,3),"0.0%")</f>
        <v>0.0%</v>
      </c>
      <c r="I137" s="315" t="str">
        <f>IFERROR(ROUND(((G137+D137)-(C137*2))/(C137*2),3),"0.0%")</f>
        <v>0.0%</v>
      </c>
      <c r="J137" s="406">
        <f>SUM(J111:J135)</f>
        <v>0</v>
      </c>
      <c r="K137" s="271" t="str">
        <f>IFERROR(ROUND((J137-C137)/C137,3),"0.0%")</f>
        <v>0.0%</v>
      </c>
      <c r="L137" s="315" t="str">
        <f>IFERROR(ROUND(((J137+G137+D137)-(C137*3))/(C137*3),3),"0.0%")</f>
        <v>0.0%</v>
      </c>
      <c r="M137" s="406">
        <f>SUM(M111:M135)</f>
        <v>0</v>
      </c>
      <c r="N137" s="271" t="str">
        <f>IFERROR(ROUND((M137-(C137*3))/(C137*3),3),"0.0%")</f>
        <v>0.0%</v>
      </c>
      <c r="O137" s="315" t="str">
        <f>IFERROR(ROUND(((M137)-(C137*3))/(C137*3),3),"0.0%")</f>
        <v>0.0%</v>
      </c>
      <c r="P137" s="406">
        <f>SUM(P111:P135)</f>
        <v>0</v>
      </c>
      <c r="Q137" s="271" t="str">
        <f>IFERROR(ROUND((P137-C137)/C137,3),"0.0%")</f>
        <v>0.0%</v>
      </c>
      <c r="R137" s="315" t="str">
        <f>IFERROR(ROUND(((P137+M137)-(C137*4))/(C137*4),3),"0.0%")</f>
        <v>0.0%</v>
      </c>
      <c r="S137" s="406">
        <f>SUM(S111:S135)</f>
        <v>0</v>
      </c>
      <c r="T137" s="271" t="str">
        <f>IFERROR(ROUND((S137-C137)/C137,3),"0.0%")</f>
        <v>0.0%</v>
      </c>
      <c r="U137" s="315" t="str">
        <f>IFERROR(ROUND(((S137+P137+M137)-(C137*5))/(C137*5),3),"0.0%")</f>
        <v>0.0%</v>
      </c>
      <c r="V137" s="406">
        <f>SUM(V111:V135)</f>
        <v>0</v>
      </c>
      <c r="W137" s="271" t="str">
        <f>IFERROR(ROUND((V137-C137)/C137,3),"0.0%")</f>
        <v>0.0%</v>
      </c>
      <c r="X137" s="315" t="str">
        <f>IFERROR(ROUND(((V137+S137+P137+M137)-(C137*6))/(C137*6),3),"0.0%")</f>
        <v>0.0%</v>
      </c>
      <c r="Y137" s="406">
        <f>SUM(Y111:Y135)</f>
        <v>0</v>
      </c>
      <c r="Z137" s="271" t="str">
        <f>IFERROR(ROUND((Y137-(C137*3))/(C137*3),3),"0.0%")</f>
        <v>0.0%</v>
      </c>
      <c r="AA137" s="315" t="str">
        <f>IFERROR(ROUND(((Y137+M137)-(C137*6))/(C137*6),3),"0.0%")</f>
        <v>0.0%</v>
      </c>
      <c r="AB137" s="406">
        <f>SUM(AB111:AB135)</f>
        <v>0</v>
      </c>
      <c r="AC137" s="271" t="str">
        <f>IFERROR(ROUND((AB137-C137)/C137,3),"0.0%")</f>
        <v>0.0%</v>
      </c>
      <c r="AD137" s="315" t="str">
        <f>IFERROR(ROUND(((AB137+Y137+M137)-(C137*7))/(C137*7),3),"0.0%")</f>
        <v>0.0%</v>
      </c>
      <c r="AE137" s="406">
        <f>SUM(AE111:AE135)</f>
        <v>0</v>
      </c>
      <c r="AF137" s="271" t="str">
        <f>IFERROR(ROUND((AE137-C137)/C137,3),"0.0%")</f>
        <v>0.0%</v>
      </c>
      <c r="AG137" s="315" t="str">
        <f>IFERROR(ROUND(((AE137+AB137+Y137+M137)-(C137*8))/(C137*8),3),"0.0%")</f>
        <v>0.0%</v>
      </c>
      <c r="AH137" s="406">
        <f>SUM(AH111:AH135)</f>
        <v>0</v>
      </c>
      <c r="AI137" s="271" t="str">
        <f>IFERROR(ROUND((AH137-C137)/C137,3),"0.0%")</f>
        <v>0.0%</v>
      </c>
      <c r="AJ137" s="315" t="str">
        <f>IFERROR(ROUND(((AH137+AE137+AB137+Y137+M137)-(C137*9))/(C137*9),3),"0.0%")</f>
        <v>0.0%</v>
      </c>
      <c r="AK137" s="406">
        <f>SUM(AK111:AK135)</f>
        <v>0</v>
      </c>
      <c r="AL137" s="271" t="str">
        <f>IFERROR(ROUND((AK137-(C137*3))/(C137*3),3),"0.0%")</f>
        <v>0.0%</v>
      </c>
      <c r="AM137" s="315" t="str">
        <f>IFERROR(ROUND(((AK137+Y137+M137)-(C137*9))/(C137*9),3),"0.0%")</f>
        <v>0.0%</v>
      </c>
      <c r="AN137" s="406">
        <f>SUM(AN111:AN135)</f>
        <v>0</v>
      </c>
      <c r="AO137" s="271" t="str">
        <f>IFERROR(ROUND((AN137-C137)/C137,3),"0.0%")</f>
        <v>0.0%</v>
      </c>
      <c r="AP137" s="315" t="str">
        <f>IFERROR(ROUND(((AN137+AK137+Y137+M137)-(C137*10))/(C137*10),3),"0.0%")</f>
        <v>0.0%</v>
      </c>
      <c r="AQ137" s="406">
        <f>SUM(AQ111:AQ135)</f>
        <v>0</v>
      </c>
      <c r="AR137" s="271" t="str">
        <f>IFERROR(ROUND((AQ137-C137)/C137,3),"0.0%")</f>
        <v>0.0%</v>
      </c>
      <c r="AS137" s="315" t="str">
        <f>IFERROR(ROUND(((AQ137+AN137+AK137+Y137+M137)-(C137*11))/(C137*11),3),"0.0%")</f>
        <v>0.0%</v>
      </c>
      <c r="AT137" s="406">
        <f>SUM(AT111:AT135)</f>
        <v>0</v>
      </c>
      <c r="AU137" s="271" t="str">
        <f>IFERROR(ROUND((AT137-C137)/C137,3),"0.0%")</f>
        <v>0.0%</v>
      </c>
      <c r="AV137" s="315" t="str">
        <f>IFERROR(ROUND(((AT137+AQ137+AN137+AK137+Y137+M137)-(C137*12))/(C137*12),3),"0.0%")</f>
        <v>0.0%</v>
      </c>
      <c r="AW137" s="406">
        <f>SUM(AW111:AW135)</f>
        <v>0</v>
      </c>
      <c r="AX137" s="271" t="str">
        <f>IFERROR(ROUND((AW137-(C137*3))/(C137*3),3),"0.0%")</f>
        <v>0.0%</v>
      </c>
      <c r="AY137" s="315" t="str">
        <f>IFERROR(ROUND(((AW137+AK137+Y137+M137)-(C137*12))/(C137*12),3),"0.0%")</f>
        <v>0.0%</v>
      </c>
      <c r="AZ137" s="406">
        <f>SUM(AZ111:AZ135)</f>
        <v>0</v>
      </c>
      <c r="BA137" s="271" t="str">
        <f>N137</f>
        <v>0.0%</v>
      </c>
      <c r="BB137" s="315" t="str">
        <f>O137</f>
        <v>0.0%</v>
      </c>
      <c r="BC137" s="406">
        <f>SUM(BC111:BC135)</f>
        <v>0</v>
      </c>
      <c r="BD137" s="271" t="str">
        <f>Z137</f>
        <v>0.0%</v>
      </c>
      <c r="BE137" s="315" t="str">
        <f>AA137</f>
        <v>0.0%</v>
      </c>
      <c r="BF137" s="406">
        <f>SUM(BF111:BF135)</f>
        <v>0</v>
      </c>
      <c r="BG137" s="271" t="str">
        <f>AL137</f>
        <v>0.0%</v>
      </c>
      <c r="BH137" s="315" t="str">
        <f>AM137</f>
        <v>0.0%</v>
      </c>
      <c r="BI137" s="406">
        <f>SUM(BI111:BI135)</f>
        <v>0</v>
      </c>
      <c r="BJ137" s="271" t="str">
        <f>AX137</f>
        <v>0.0%</v>
      </c>
      <c r="BK137" s="314" t="str">
        <f>AY137</f>
        <v>0.0%</v>
      </c>
      <c r="BL137" s="406">
        <f>SUM(BL111:BL135)</f>
        <v>0</v>
      </c>
      <c r="BM137" s="340" t="str">
        <f t="shared" si="296"/>
        <v>0.0%</v>
      </c>
    </row>
    <row r="138" spans="1:65" s="233" customFormat="1" thickBot="1" x14ac:dyDescent="0.25">
      <c r="A138" s="336"/>
      <c r="B138" s="436"/>
      <c r="C138" s="434"/>
      <c r="D138" s="442"/>
      <c r="E138" s="292"/>
      <c r="F138" s="293"/>
      <c r="G138" s="442"/>
      <c r="H138" s="292"/>
      <c r="I138" s="293"/>
      <c r="J138" s="442"/>
      <c r="K138" s="292"/>
      <c r="L138" s="293"/>
      <c r="M138" s="442"/>
      <c r="N138" s="292"/>
      <c r="O138" s="293"/>
      <c r="P138" s="442"/>
      <c r="Q138" s="292"/>
      <c r="R138" s="293"/>
      <c r="S138" s="442"/>
      <c r="T138" s="292"/>
      <c r="U138" s="293"/>
      <c r="V138" s="442"/>
      <c r="W138" s="292"/>
      <c r="X138" s="293"/>
      <c r="Y138" s="442"/>
      <c r="Z138" s="292"/>
      <c r="AA138" s="293"/>
      <c r="AB138" s="442"/>
      <c r="AC138" s="292"/>
      <c r="AD138" s="293"/>
      <c r="AE138" s="442"/>
      <c r="AF138" s="292"/>
      <c r="AG138" s="293"/>
      <c r="AH138" s="442"/>
      <c r="AI138" s="292"/>
      <c r="AJ138" s="293"/>
      <c r="AK138" s="442"/>
      <c r="AL138" s="292"/>
      <c r="AM138" s="293"/>
      <c r="AN138" s="442"/>
      <c r="AO138" s="292"/>
      <c r="AP138" s="293"/>
      <c r="AQ138" s="442"/>
      <c r="AR138" s="292"/>
      <c r="AS138" s="293"/>
      <c r="AT138" s="442"/>
      <c r="AU138" s="292"/>
      <c r="AV138" s="293"/>
      <c r="AW138" s="442"/>
      <c r="AX138" s="292"/>
      <c r="AY138" s="293"/>
      <c r="AZ138" s="442"/>
      <c r="BA138" s="292"/>
      <c r="BB138" s="293"/>
      <c r="BC138" s="442"/>
      <c r="BD138" s="292"/>
      <c r="BE138" s="293"/>
      <c r="BF138" s="442"/>
      <c r="BG138" s="292"/>
      <c r="BH138" s="293"/>
      <c r="BI138" s="442"/>
      <c r="BJ138" s="292"/>
      <c r="BK138" s="269"/>
      <c r="BL138" s="443"/>
      <c r="BM138" s="305"/>
    </row>
    <row r="139" spans="1:65" s="233" customFormat="1" ht="13.5" customHeight="1" x14ac:dyDescent="0.2">
      <c r="A139" s="457" t="s">
        <v>524</v>
      </c>
      <c r="B139" s="401"/>
      <c r="C139" s="402"/>
      <c r="D139" s="401"/>
      <c r="E139" s="290"/>
      <c r="F139" s="291"/>
      <c r="G139" s="401"/>
      <c r="H139" s="290"/>
      <c r="I139" s="291"/>
      <c r="J139" s="401"/>
      <c r="K139" s="290"/>
      <c r="L139" s="291"/>
      <c r="M139" s="401"/>
      <c r="N139" s="290"/>
      <c r="O139" s="291"/>
      <c r="P139" s="401"/>
      <c r="Q139" s="290"/>
      <c r="R139" s="291"/>
      <c r="S139" s="401"/>
      <c r="T139" s="290"/>
      <c r="U139" s="291"/>
      <c r="V139" s="401"/>
      <c r="W139" s="290"/>
      <c r="X139" s="291"/>
      <c r="Y139" s="401"/>
      <c r="Z139" s="290"/>
      <c r="AA139" s="291"/>
      <c r="AB139" s="401"/>
      <c r="AC139" s="290"/>
      <c r="AD139" s="291"/>
      <c r="AE139" s="401"/>
      <c r="AF139" s="290"/>
      <c r="AG139" s="291"/>
      <c r="AH139" s="401"/>
      <c r="AI139" s="290"/>
      <c r="AJ139" s="291"/>
      <c r="AK139" s="401"/>
      <c r="AL139" s="290"/>
      <c r="AM139" s="291"/>
      <c r="AN139" s="401"/>
      <c r="AO139" s="290"/>
      <c r="AP139" s="291"/>
      <c r="AQ139" s="401"/>
      <c r="AR139" s="290"/>
      <c r="AS139" s="291"/>
      <c r="AT139" s="401"/>
      <c r="AU139" s="290"/>
      <c r="AV139" s="291"/>
      <c r="AW139" s="401"/>
      <c r="AX139" s="290"/>
      <c r="AY139" s="291"/>
      <c r="AZ139" s="401"/>
      <c r="BA139" s="290"/>
      <c r="BB139" s="291"/>
      <c r="BC139" s="401"/>
      <c r="BD139" s="290"/>
      <c r="BE139" s="291"/>
      <c r="BF139" s="401"/>
      <c r="BG139" s="290"/>
      <c r="BH139" s="291"/>
      <c r="BI139" s="401"/>
      <c r="BJ139" s="290"/>
      <c r="BK139" s="301"/>
      <c r="BL139" s="403"/>
      <c r="BM139" s="300"/>
    </row>
    <row r="140" spans="1:65" s="233" customFormat="1" ht="12" x14ac:dyDescent="0.2">
      <c r="A140" s="458" t="s">
        <v>380</v>
      </c>
      <c r="B140" s="444">
        <f>B137-B107</f>
        <v>0</v>
      </c>
      <c r="C140" s="432">
        <f>ROUND(B140/12,0)</f>
        <v>0</v>
      </c>
      <c r="D140" s="444">
        <f>D137-D107</f>
        <v>0</v>
      </c>
      <c r="E140" s="271" t="str">
        <f>IFERROR(ROUND((D140-C140)/C140,3),"0.0%")</f>
        <v>0.0%</v>
      </c>
      <c r="F140" s="315" t="str">
        <f>IFERROR(ROUND((D140-C140)/C140,3),"0.0%")</f>
        <v>0.0%</v>
      </c>
      <c r="G140" s="444">
        <f>G137-G107</f>
        <v>0</v>
      </c>
      <c r="H140" s="271" t="str">
        <f>IFERROR(ROUND((G140-C140)/C140,3),"0.0%")</f>
        <v>0.0%</v>
      </c>
      <c r="I140" s="315" t="str">
        <f>IFERROR(ROUND(((G140+D140)-(C140*2))/(C140*2),3),"0.0%")</f>
        <v>0.0%</v>
      </c>
      <c r="J140" s="444">
        <f>J137-J107</f>
        <v>0</v>
      </c>
      <c r="K140" s="271" t="str">
        <f>IFERROR(ROUND((J140-C140)/C140,3),"0.0%")</f>
        <v>0.0%</v>
      </c>
      <c r="L140" s="315" t="str">
        <f>IFERROR(ROUND(((J140+G140+D140)-(C140*3))/(C140*3),3),"0.0%")</f>
        <v>0.0%</v>
      </c>
      <c r="M140" s="444">
        <f>M137-M107</f>
        <v>0</v>
      </c>
      <c r="N140" s="271" t="str">
        <f>IFERROR(ROUND((M140-(C140*3))/(C140*3),3),"0.0%")</f>
        <v>0.0%</v>
      </c>
      <c r="O140" s="315" t="str">
        <f>IFERROR(ROUND(((M140)-(C140*3))/(C140*3),3),"0.0%")</f>
        <v>0.0%</v>
      </c>
      <c r="P140" s="444">
        <f>P137-P107</f>
        <v>0</v>
      </c>
      <c r="Q140" s="271" t="str">
        <f>IFERROR(ROUND((P140-C140)/C140,3),"0.0%")</f>
        <v>0.0%</v>
      </c>
      <c r="R140" s="315" t="str">
        <f>IFERROR(ROUND(((P140+M140)-(C140*4))/(C140*4),3),"0.0%")</f>
        <v>0.0%</v>
      </c>
      <c r="S140" s="444">
        <f>S137-S107</f>
        <v>0</v>
      </c>
      <c r="T140" s="271" t="str">
        <f>IFERROR(ROUND((S140-C140)/C140,3),"0.0%")</f>
        <v>0.0%</v>
      </c>
      <c r="U140" s="315" t="str">
        <f>IFERROR(ROUND(((S140+P140+M140)-(C140*5))/(C140*5),3),"0.0%")</f>
        <v>0.0%</v>
      </c>
      <c r="V140" s="444">
        <f>V137-V107</f>
        <v>0</v>
      </c>
      <c r="W140" s="271" t="str">
        <f>IFERROR(ROUND((V140-C140)/C140,3),"0.0%")</f>
        <v>0.0%</v>
      </c>
      <c r="X140" s="315" t="str">
        <f>IFERROR(ROUND(((V140+S140+P140+M140)-(C140*6))/(C140*6),3),"0.0%")</f>
        <v>0.0%</v>
      </c>
      <c r="Y140" s="444">
        <f>Y137-Y107</f>
        <v>0</v>
      </c>
      <c r="Z140" s="271" t="str">
        <f>IFERROR(ROUND((Y140-(C140*3))/(C140*3),3),"0.0%")</f>
        <v>0.0%</v>
      </c>
      <c r="AA140" s="315" t="str">
        <f>IFERROR(ROUND(((Y140+M140)-(C140*6))/(C140*6),3),"0.0%")</f>
        <v>0.0%</v>
      </c>
      <c r="AB140" s="444">
        <f>AB137-AB107</f>
        <v>0</v>
      </c>
      <c r="AC140" s="271" t="str">
        <f>IFERROR(ROUND((AB140-C140)/C140,3),"0.0%")</f>
        <v>0.0%</v>
      </c>
      <c r="AD140" s="315" t="str">
        <f>IFERROR(ROUND(((AB140+Y140+M140)-(C140*7))/(C140*7),3),"0.0%")</f>
        <v>0.0%</v>
      </c>
      <c r="AE140" s="444">
        <f>AE137-AE107</f>
        <v>0</v>
      </c>
      <c r="AF140" s="271" t="str">
        <f>IFERROR(ROUND((AE140-C140)/C140,3),"0.0%")</f>
        <v>0.0%</v>
      </c>
      <c r="AG140" s="315" t="str">
        <f>IFERROR(ROUND(((AE140+AB140+Y140+M140)-(C140*8))/(C140*8),3),"0.0%")</f>
        <v>0.0%</v>
      </c>
      <c r="AH140" s="444">
        <f>AH137-AH107</f>
        <v>0</v>
      </c>
      <c r="AI140" s="271" t="str">
        <f>IFERROR(ROUND((AH140-C140)/C140,3),"0.0%")</f>
        <v>0.0%</v>
      </c>
      <c r="AJ140" s="315" t="str">
        <f>IFERROR(ROUND(((AH140+AE140+AB140+Y140+M140)-(C140*9))/(C140*9),3),"0.0%")</f>
        <v>0.0%</v>
      </c>
      <c r="AK140" s="444">
        <f>AK137-AK107</f>
        <v>0</v>
      </c>
      <c r="AL140" s="271" t="str">
        <f>IFERROR(ROUND((AK140-(C140*3))/(C140*3),3),"0.0%")</f>
        <v>0.0%</v>
      </c>
      <c r="AM140" s="315" t="str">
        <f>IFERROR(ROUND(((AK140+Y140+M140)-(C140*9))/(C140*9),3),"0.0%")</f>
        <v>0.0%</v>
      </c>
      <c r="AN140" s="444">
        <f>AN137-AN107</f>
        <v>0</v>
      </c>
      <c r="AO140" s="271" t="str">
        <f>IFERROR(ROUND((AN140-C140)/C140,3),"0.0%")</f>
        <v>0.0%</v>
      </c>
      <c r="AP140" s="315" t="str">
        <f>IFERROR(ROUND(((AN140+AK140+Y140+M140)-(C140*10))/(C140*10),3),"0.0%")</f>
        <v>0.0%</v>
      </c>
      <c r="AQ140" s="444">
        <f>AQ137-AQ107</f>
        <v>0</v>
      </c>
      <c r="AR140" s="271" t="str">
        <f>IFERROR(ROUND((AQ140-C140)/C140,3),"0.0%")</f>
        <v>0.0%</v>
      </c>
      <c r="AS140" s="315" t="str">
        <f>IFERROR(ROUND(((AQ140+AN140+AK140+Y140+M140)-(C140*11))/(C140*11),3),"0.0%")</f>
        <v>0.0%</v>
      </c>
      <c r="AT140" s="444">
        <f>AT137-AT107</f>
        <v>0</v>
      </c>
      <c r="AU140" s="271" t="str">
        <f>IFERROR(ROUND((AT140-C140)/C140,3),"0.0%")</f>
        <v>0.0%</v>
      </c>
      <c r="AV140" s="315" t="str">
        <f>IFERROR(ROUND(((AT140+AQ140+AN140+AK140+Y140+M140)-(C140*12))/(C140*12),3),"0.0%")</f>
        <v>0.0%</v>
      </c>
      <c r="AW140" s="444">
        <f>AW137-AW107</f>
        <v>0</v>
      </c>
      <c r="AX140" s="271" t="str">
        <f>IFERROR(ROUND((AW140-(C140*3))/(C140*3),3),"0.0%")</f>
        <v>0.0%</v>
      </c>
      <c r="AY140" s="315" t="str">
        <f>IFERROR(ROUND(((AW140+AK140+Y140+M140)-(C140*12))/(C140*12),3),"0.0%")</f>
        <v>0.0%</v>
      </c>
      <c r="AZ140" s="444">
        <f>AZ137-AZ107</f>
        <v>0</v>
      </c>
      <c r="BA140" s="271" t="str">
        <f>N140</f>
        <v>0.0%</v>
      </c>
      <c r="BB140" s="315" t="str">
        <f>O140</f>
        <v>0.0%</v>
      </c>
      <c r="BC140" s="444">
        <f>BC137-BC107</f>
        <v>0</v>
      </c>
      <c r="BD140" s="271" t="str">
        <f>Z140</f>
        <v>0.0%</v>
      </c>
      <c r="BE140" s="315" t="str">
        <f>AA140</f>
        <v>0.0%</v>
      </c>
      <c r="BF140" s="444">
        <f>BF137-BF107</f>
        <v>0</v>
      </c>
      <c r="BG140" s="271" t="str">
        <f>AL140</f>
        <v>0.0%</v>
      </c>
      <c r="BH140" s="315" t="str">
        <f>AM140</f>
        <v>0.0%</v>
      </c>
      <c r="BI140" s="444">
        <f>BI137-BI107</f>
        <v>0</v>
      </c>
      <c r="BJ140" s="271" t="str">
        <f>AX140</f>
        <v>0.0%</v>
      </c>
      <c r="BK140" s="314" t="str">
        <f>AY140</f>
        <v>0.0%</v>
      </c>
      <c r="BL140" s="444">
        <f>BL137-BL107</f>
        <v>0</v>
      </c>
      <c r="BM140" s="340" t="str">
        <f>IFERROR(ROUND((BL140-B140)/B140,3),"0.0%")</f>
        <v>0.0%</v>
      </c>
    </row>
    <row r="141" spans="1:65" s="233" customFormat="1" thickBot="1" x14ac:dyDescent="0.25">
      <c r="A141" s="252"/>
      <c r="B141" s="407"/>
      <c r="C141" s="440"/>
      <c r="D141" s="407"/>
      <c r="E141" s="288"/>
      <c r="F141" s="289"/>
      <c r="G141" s="407"/>
      <c r="H141" s="288"/>
      <c r="I141" s="289"/>
      <c r="J141" s="407"/>
      <c r="K141" s="288"/>
      <c r="L141" s="289"/>
      <c r="M141" s="407"/>
      <c r="N141" s="288"/>
      <c r="O141" s="289"/>
      <c r="P141" s="407"/>
      <c r="Q141" s="288"/>
      <c r="R141" s="289"/>
      <c r="S141" s="407"/>
      <c r="T141" s="288"/>
      <c r="U141" s="289"/>
      <c r="V141" s="407"/>
      <c r="W141" s="288"/>
      <c r="X141" s="289"/>
      <c r="Y141" s="407"/>
      <c r="Z141" s="288"/>
      <c r="AA141" s="289"/>
      <c r="AB141" s="407"/>
      <c r="AC141" s="288"/>
      <c r="AD141" s="289"/>
      <c r="AE141" s="407"/>
      <c r="AF141" s="288"/>
      <c r="AG141" s="289"/>
      <c r="AH141" s="407"/>
      <c r="AI141" s="288"/>
      <c r="AJ141" s="289"/>
      <c r="AK141" s="407"/>
      <c r="AL141" s="288"/>
      <c r="AM141" s="289"/>
      <c r="AN141" s="407"/>
      <c r="AO141" s="288"/>
      <c r="AP141" s="289"/>
      <c r="AQ141" s="407"/>
      <c r="AR141" s="288"/>
      <c r="AS141" s="289"/>
      <c r="AT141" s="407"/>
      <c r="AU141" s="288"/>
      <c r="AV141" s="289"/>
      <c r="AW141" s="407"/>
      <c r="AX141" s="288"/>
      <c r="AY141" s="289"/>
      <c r="AZ141" s="407"/>
      <c r="BA141" s="288"/>
      <c r="BB141" s="289"/>
      <c r="BC141" s="407"/>
      <c r="BD141" s="288"/>
      <c r="BE141" s="289"/>
      <c r="BF141" s="407"/>
      <c r="BG141" s="288"/>
      <c r="BH141" s="289"/>
      <c r="BI141" s="407"/>
      <c r="BJ141" s="288"/>
      <c r="BK141" s="288"/>
      <c r="BL141" s="408"/>
      <c r="BM141" s="317"/>
    </row>
    <row r="142" spans="1:65" s="233" customFormat="1" ht="13.5" thickTop="1" thickBot="1" x14ac:dyDescent="0.25">
      <c r="A142" s="239"/>
      <c r="B142" s="409"/>
      <c r="C142" s="409"/>
      <c r="D142" s="409"/>
      <c r="E142" s="268"/>
      <c r="F142" s="268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  <c r="AA142" s="295"/>
      <c r="AB142" s="295"/>
      <c r="AC142" s="295"/>
      <c r="AD142" s="295"/>
      <c r="AE142" s="295"/>
      <c r="AF142" s="295"/>
      <c r="AG142" s="295"/>
      <c r="AH142" s="295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5"/>
      <c r="AS142" s="295"/>
      <c r="AT142" s="295"/>
      <c r="AU142" s="295"/>
      <c r="AV142" s="295"/>
      <c r="AW142" s="295"/>
      <c r="AX142" s="295"/>
      <c r="AY142" s="295"/>
      <c r="AZ142" s="295"/>
      <c r="BA142" s="295"/>
      <c r="BB142" s="295"/>
      <c r="BC142" s="295"/>
      <c r="BD142" s="295"/>
      <c r="BE142" s="295"/>
      <c r="BF142" s="295"/>
      <c r="BG142" s="295"/>
      <c r="BH142" s="295"/>
      <c r="BI142" s="295"/>
      <c r="BJ142" s="295"/>
      <c r="BK142" s="295"/>
      <c r="BL142" s="295"/>
      <c r="BM142" s="295"/>
    </row>
    <row r="143" spans="1:65" s="233" customFormat="1" ht="16.5" customHeight="1" thickBot="1" x14ac:dyDescent="0.25">
      <c r="A143" s="507" t="s">
        <v>553</v>
      </c>
      <c r="B143" s="508"/>
      <c r="C143" s="509"/>
      <c r="D143" s="379"/>
      <c r="E143" s="280"/>
      <c r="F143" s="281"/>
      <c r="G143" s="375"/>
      <c r="H143" s="298"/>
      <c r="I143" s="299"/>
      <c r="J143" s="375"/>
      <c r="K143" s="298"/>
      <c r="L143" s="299"/>
      <c r="M143" s="375"/>
      <c r="N143" s="298"/>
      <c r="O143" s="299"/>
      <c r="P143" s="375"/>
      <c r="Q143" s="298"/>
      <c r="R143" s="298"/>
      <c r="S143" s="375"/>
      <c r="T143" s="298"/>
      <c r="U143" s="299"/>
      <c r="V143" s="380"/>
      <c r="W143" s="298"/>
      <c r="X143" s="298"/>
      <c r="Y143" s="375"/>
      <c r="Z143" s="298"/>
      <c r="AA143" s="299"/>
      <c r="AB143" s="375"/>
      <c r="AC143" s="298"/>
      <c r="AD143" s="299"/>
      <c r="AE143" s="375"/>
      <c r="AF143" s="298"/>
      <c r="AG143" s="299"/>
      <c r="AH143" s="375"/>
      <c r="AI143" s="298"/>
      <c r="AJ143" s="299"/>
      <c r="AK143" s="375"/>
      <c r="AL143" s="298"/>
      <c r="AM143" s="299"/>
      <c r="AN143" s="375"/>
      <c r="AO143" s="298"/>
      <c r="AP143" s="299"/>
      <c r="AQ143" s="375"/>
      <c r="AR143" s="298"/>
      <c r="AS143" s="299"/>
      <c r="AT143" s="375"/>
      <c r="AU143" s="298"/>
      <c r="AV143" s="299"/>
      <c r="AW143" s="375"/>
      <c r="AX143" s="298"/>
      <c r="AY143" s="299"/>
      <c r="AZ143" s="375"/>
      <c r="BA143" s="298"/>
      <c r="BB143" s="298"/>
      <c r="BC143" s="375"/>
      <c r="BD143" s="298"/>
      <c r="BE143" s="298"/>
      <c r="BF143" s="375"/>
      <c r="BG143" s="298"/>
      <c r="BH143" s="298"/>
      <c r="BI143" s="375"/>
      <c r="BJ143" s="298"/>
      <c r="BK143" s="298"/>
      <c r="BL143" s="375"/>
      <c r="BM143" s="299"/>
    </row>
    <row r="144" spans="1:65" s="234" customFormat="1" ht="12" x14ac:dyDescent="0.2">
      <c r="A144" s="337"/>
      <c r="B144" s="401"/>
      <c r="C144" s="411"/>
      <c r="D144" s="403"/>
      <c r="E144" s="345"/>
      <c r="F144" s="304"/>
      <c r="G144" s="403"/>
      <c r="H144" s="345"/>
      <c r="I144" s="304"/>
      <c r="J144" s="403"/>
      <c r="K144" s="345"/>
      <c r="L144" s="304"/>
      <c r="M144" s="403"/>
      <c r="N144" s="345"/>
      <c r="O144" s="304"/>
      <c r="P144" s="403"/>
      <c r="Q144" s="345"/>
      <c r="R144" s="304"/>
      <c r="S144" s="403"/>
      <c r="T144" s="345"/>
      <c r="U144" s="304"/>
      <c r="V144" s="403"/>
      <c r="W144" s="345"/>
      <c r="X144" s="304"/>
      <c r="Y144" s="403"/>
      <c r="Z144" s="345"/>
      <c r="AA144" s="304"/>
      <c r="AB144" s="403"/>
      <c r="AC144" s="345"/>
      <c r="AD144" s="304"/>
      <c r="AE144" s="403"/>
      <c r="AF144" s="345"/>
      <c r="AG144" s="304"/>
      <c r="AH144" s="403"/>
      <c r="AI144" s="345"/>
      <c r="AJ144" s="304"/>
      <c r="AK144" s="403"/>
      <c r="AL144" s="345"/>
      <c r="AM144" s="304"/>
      <c r="AN144" s="403"/>
      <c r="AO144" s="345"/>
      <c r="AP144" s="304"/>
      <c r="AQ144" s="403"/>
      <c r="AR144" s="345"/>
      <c r="AS144" s="304"/>
      <c r="AT144" s="403"/>
      <c r="AU144" s="345"/>
      <c r="AV144" s="304"/>
      <c r="AW144" s="403"/>
      <c r="AX144" s="345"/>
      <c r="AY144" s="304"/>
      <c r="AZ144" s="403"/>
      <c r="BA144" s="345"/>
      <c r="BB144" s="304"/>
      <c r="BC144" s="403"/>
      <c r="BD144" s="345"/>
      <c r="BE144" s="304"/>
      <c r="BF144" s="403"/>
      <c r="BG144" s="345"/>
      <c r="BH144" s="304"/>
      <c r="BI144" s="403"/>
      <c r="BJ144" s="345"/>
      <c r="BK144" s="345"/>
      <c r="BL144" s="403"/>
      <c r="BM144" s="304"/>
    </row>
    <row r="145" spans="1:65" s="234" customFormat="1" ht="24" x14ac:dyDescent="0.2">
      <c r="A145" s="250" t="s">
        <v>392</v>
      </c>
      <c r="B145" s="388">
        <f>ROUND(B59+B94,0)</f>
        <v>0</v>
      </c>
      <c r="C145" s="277">
        <f t="shared" ref="C145:C155" si="297">ROUND(B145/12,0)</f>
        <v>0</v>
      </c>
      <c r="D145" s="388">
        <f>ROUND(D59+D94,0)</f>
        <v>0</v>
      </c>
      <c r="E145" s="260" t="str">
        <f>IFERROR(ROUND((D145-C145)/C145,3),"0.0%")</f>
        <v>0.0%</v>
      </c>
      <c r="F145" s="307" t="str">
        <f>IFERROR(ROUND((D145-C145)/C145,3),"0.0%")</f>
        <v>0.0%</v>
      </c>
      <c r="G145" s="388">
        <f>ROUND(G59+G94,0)</f>
        <v>0</v>
      </c>
      <c r="H145" s="260" t="str">
        <f>IFERROR(ROUND((G145-C145)/C145,3),"0.0%")</f>
        <v>0.0%</v>
      </c>
      <c r="I145" s="307" t="str">
        <f>IFERROR(ROUND(((G145+D145)-(C145*2))/(C145*2),3),"0.0%")</f>
        <v>0.0%</v>
      </c>
      <c r="J145" s="388">
        <f>ROUND(J59+J94,0)</f>
        <v>0</v>
      </c>
      <c r="K145" s="260" t="str">
        <f>IFERROR(ROUND((J145-C145)/C145,3),"0.0%")</f>
        <v>0.0%</v>
      </c>
      <c r="L145" s="307" t="str">
        <f>IFERROR(ROUND(((J145+G145+D145)-(C145*3))/(C145*3),3),"0.0%")</f>
        <v>0.0%</v>
      </c>
      <c r="M145" s="388">
        <f>ROUND(M59+M94,0)</f>
        <v>0</v>
      </c>
      <c r="N145" s="260" t="str">
        <f>IFERROR(ROUND((M145-(C145*3))/(C145*3),3),"0.0%")</f>
        <v>0.0%</v>
      </c>
      <c r="O145" s="307" t="str">
        <f>IFERROR(ROUND(((M145)-(C145*3))/(C145*3),3),"0.0%")</f>
        <v>0.0%</v>
      </c>
      <c r="P145" s="388">
        <f>ROUND(P59+P94,0)</f>
        <v>0</v>
      </c>
      <c r="Q145" s="260" t="str">
        <f>IFERROR(ROUND((P145-C145)/C145,3),"0.0%")</f>
        <v>0.0%</v>
      </c>
      <c r="R145" s="307" t="str">
        <f>IFERROR(ROUND(((P145+M145)-(C145*4))/(C145*4),3),"0.0%")</f>
        <v>0.0%</v>
      </c>
      <c r="S145" s="388">
        <f>ROUND(S59+S94,0)</f>
        <v>0</v>
      </c>
      <c r="T145" s="260" t="str">
        <f>IFERROR(ROUND((S145-C145)/C145,3),"0.0%")</f>
        <v>0.0%</v>
      </c>
      <c r="U145" s="307" t="str">
        <f>IFERROR(ROUND(((S145+P145+M145)-(C145*5))/(C145*5),3),"0.0%")</f>
        <v>0.0%</v>
      </c>
      <c r="V145" s="388">
        <f>ROUND(V59+V94,0)</f>
        <v>0</v>
      </c>
      <c r="W145" s="260" t="str">
        <f>IFERROR(ROUND((V145-C145)/C145,3),"0.0%")</f>
        <v>0.0%</v>
      </c>
      <c r="X145" s="307" t="str">
        <f>IFERROR(ROUND(((V145+S145+P145+M145)-(C145*6))/(C145*6),3),"0.0%")</f>
        <v>0.0%</v>
      </c>
      <c r="Y145" s="388">
        <f>ROUND(Y59+Y94,0)</f>
        <v>0</v>
      </c>
      <c r="Z145" s="260" t="str">
        <f>IFERROR(ROUND((Y145-(C145*3))/(C145*3),3),"0.0%")</f>
        <v>0.0%</v>
      </c>
      <c r="AA145" s="307" t="str">
        <f>IFERROR(ROUND(((Y145+M145)-(C145*6))/(C145*6),3),"0.0%")</f>
        <v>0.0%</v>
      </c>
      <c r="AB145" s="388">
        <f>ROUND(AB59+AB94,0)</f>
        <v>0</v>
      </c>
      <c r="AC145" s="260" t="str">
        <f>IFERROR(ROUND((AB145-C145)/C145,3),"0.0%")</f>
        <v>0.0%</v>
      </c>
      <c r="AD145" s="307" t="str">
        <f>IFERROR(ROUND(((AB145+Y145+M145)-(C145*7))/(C145*7),3),"0.0%")</f>
        <v>0.0%</v>
      </c>
      <c r="AE145" s="388">
        <f>ROUND(AE59+AE94,0)</f>
        <v>0</v>
      </c>
      <c r="AF145" s="260" t="str">
        <f>IFERROR(ROUND((AE145-C145)/C145,3),"0.0%")</f>
        <v>0.0%</v>
      </c>
      <c r="AG145" s="307" t="str">
        <f>IFERROR(ROUND(((AE145+AB145+Y145+M145)-(C145*8))/(C145*8),3),"0.0%")</f>
        <v>0.0%</v>
      </c>
      <c r="AH145" s="388">
        <f>ROUND(AH59+AH94,0)</f>
        <v>0</v>
      </c>
      <c r="AI145" s="260" t="str">
        <f>IFERROR(ROUND((AH145-C145)/C145,3),"0.0%")</f>
        <v>0.0%</v>
      </c>
      <c r="AJ145" s="307" t="str">
        <f>IFERROR(ROUND(((AH145+AE145+AB145+Y145+M145)-(C145*9))/(C145*9),3),"0.0%")</f>
        <v>0.0%</v>
      </c>
      <c r="AK145" s="388">
        <f>ROUND(AK59+AK94,0)</f>
        <v>0</v>
      </c>
      <c r="AL145" s="260" t="str">
        <f>IFERROR(ROUND((AK145-(C145*3))/(C145*3),3),"0.0%")</f>
        <v>0.0%</v>
      </c>
      <c r="AM145" s="307" t="str">
        <f>IFERROR(ROUND(((AK145+Y145+M145)-(C145*9))/(C145*9),3),"0.0%")</f>
        <v>0.0%</v>
      </c>
      <c r="AN145" s="388">
        <f>ROUND(AN59+AN94,0)</f>
        <v>0</v>
      </c>
      <c r="AO145" s="260" t="str">
        <f>IFERROR(ROUND((AN145-C145)/C145,3),"0.0%")</f>
        <v>0.0%</v>
      </c>
      <c r="AP145" s="307" t="str">
        <f>IFERROR(ROUND(((AN145+AK145+Y145+M145)-(C145*10))/(C145*10),3),"0.0%")</f>
        <v>0.0%</v>
      </c>
      <c r="AQ145" s="388">
        <f>ROUND(AQ59+AQ94,0)</f>
        <v>0</v>
      </c>
      <c r="AR145" s="260" t="str">
        <f>IFERROR(ROUND((AQ145-C145)/C145,3),"0.0%")</f>
        <v>0.0%</v>
      </c>
      <c r="AS145" s="307" t="str">
        <f>IFERROR(ROUND(((AQ145+AN145+AK145+Y145+M145)-(C145*11))/(C145*11),3),"0.0%")</f>
        <v>0.0%</v>
      </c>
      <c r="AT145" s="388">
        <f>ROUND(AT59+AT94,0)</f>
        <v>0</v>
      </c>
      <c r="AU145" s="260" t="str">
        <f>IFERROR(ROUND((AT145-C145)/C145,3),"0.0%")</f>
        <v>0.0%</v>
      </c>
      <c r="AV145" s="307" t="str">
        <f>IFERROR(ROUND(((AT145+AQ145+AN145+AK145+Y145+M145)-(C145*12))/(C145*12),3),"0.0%")</f>
        <v>0.0%</v>
      </c>
      <c r="AW145" s="388">
        <f>ROUND(AW59+AW94,0)</f>
        <v>0</v>
      </c>
      <c r="AX145" s="260" t="str">
        <f>IFERROR(ROUND((AW145-(C145*3))/(C145*3),3),"0.0%")</f>
        <v>0.0%</v>
      </c>
      <c r="AY145" s="307" t="str">
        <f>IFERROR(ROUND(((AW145+AK145+Y145+M145)-(C145*12))/(C145*12),3),"0.0%")</f>
        <v>0.0%</v>
      </c>
      <c r="AZ145" s="388">
        <f>ROUND(AZ59+AZ94,0)</f>
        <v>0</v>
      </c>
      <c r="BA145" s="260" t="str">
        <f>N145</f>
        <v>0.0%</v>
      </c>
      <c r="BB145" s="307" t="str">
        <f>O145</f>
        <v>0.0%</v>
      </c>
      <c r="BC145" s="388">
        <f>ROUND(BC59+BC94,0)</f>
        <v>0</v>
      </c>
      <c r="BD145" s="260" t="str">
        <f>Z145</f>
        <v>0.0%</v>
      </c>
      <c r="BE145" s="307" t="str">
        <f>AA145</f>
        <v>0.0%</v>
      </c>
      <c r="BF145" s="388">
        <f>ROUND(BF59+BF94,0)</f>
        <v>0</v>
      </c>
      <c r="BG145" s="260" t="str">
        <f>AL145</f>
        <v>0.0%</v>
      </c>
      <c r="BH145" s="307" t="str">
        <f>AM145</f>
        <v>0.0%</v>
      </c>
      <c r="BI145" s="388">
        <f>ROUND(BI59+BI94,0)</f>
        <v>0</v>
      </c>
      <c r="BJ145" s="260" t="str">
        <f>AX145</f>
        <v>0.0%</v>
      </c>
      <c r="BK145" s="261" t="str">
        <f>AY145</f>
        <v>0.0%</v>
      </c>
      <c r="BL145" s="388">
        <f>ROUND(AZ145+BC145+BF145+BI145,0)</f>
        <v>0</v>
      </c>
      <c r="BM145" s="307" t="str">
        <f>IFERROR(ROUND((BL145-B145)/B145,3),"0.0%")</f>
        <v>0.0%</v>
      </c>
    </row>
    <row r="146" spans="1:65" s="234" customFormat="1" ht="12" x14ac:dyDescent="0.2">
      <c r="A146" s="346" t="s">
        <v>510</v>
      </c>
      <c r="B146" s="388" t="str">
        <f>IFERROR(ROUND(B145/B158,0),"$0")</f>
        <v>$0</v>
      </c>
      <c r="C146" s="277">
        <f t="shared" si="297"/>
        <v>0</v>
      </c>
      <c r="D146" s="388" t="str">
        <f>IFERROR(ROUND(D145/D158,0),"$0")</f>
        <v>$0</v>
      </c>
      <c r="E146" s="260" t="str">
        <f t="shared" ref="E146:E155" si="298">IFERROR(ROUND((D146-C146)/C146,3),"0.0%")</f>
        <v>0.0%</v>
      </c>
      <c r="F146" s="307" t="str">
        <f t="shared" ref="F146:F155" si="299">IFERROR(ROUND((D146-C146)/C146,3),"0.0%")</f>
        <v>0.0%</v>
      </c>
      <c r="G146" s="388" t="str">
        <f>IFERROR(ROUND(G145/G158,0),"$0")</f>
        <v>$0</v>
      </c>
      <c r="H146" s="260" t="str">
        <f t="shared" ref="H146:H155" si="300">IFERROR(ROUND((G146-C146)/C146,3),"0.0%")</f>
        <v>0.0%</v>
      </c>
      <c r="I146" s="307" t="str">
        <f t="shared" ref="I146:I155" si="301">IFERROR(ROUND(((G146+D146)-(C146*2))/(C146*2),3),"0.0%")</f>
        <v>0.0%</v>
      </c>
      <c r="J146" s="388" t="str">
        <f>IFERROR(ROUND(J145/J158,0),"$0")</f>
        <v>$0</v>
      </c>
      <c r="K146" s="260" t="str">
        <f t="shared" ref="K146:K155" si="302">IFERROR(ROUND((J146-C146)/C146,3),"0.0%")</f>
        <v>0.0%</v>
      </c>
      <c r="L146" s="307" t="str">
        <f t="shared" ref="L146:L155" si="303">IFERROR(ROUND(((J146+G146+D146)-(C146*3))/(C146*3),3),"0.0%")</f>
        <v>0.0%</v>
      </c>
      <c r="M146" s="388" t="str">
        <f>IFERROR(ROUND(M145/M158,0),"$0")</f>
        <v>$0</v>
      </c>
      <c r="N146" s="260" t="str">
        <f t="shared" ref="N146:N155" si="304">IFERROR(ROUND((M146-(C146*3))/(C146*3),3),"0.0%")</f>
        <v>0.0%</v>
      </c>
      <c r="O146" s="307" t="str">
        <f t="shared" ref="O146:O155" si="305">IFERROR(ROUND(((M146)-(C146*3))/(C146*3),3),"0.0%")</f>
        <v>0.0%</v>
      </c>
      <c r="P146" s="388" t="str">
        <f>IFERROR(ROUND(P145/P158,0),"$0")</f>
        <v>$0</v>
      </c>
      <c r="Q146" s="260" t="str">
        <f t="shared" ref="Q146:Q155" si="306">IFERROR(ROUND((P146-C146)/C146,3),"0.0%")</f>
        <v>0.0%</v>
      </c>
      <c r="R146" s="307" t="str">
        <f t="shared" ref="R146:R155" si="307">IFERROR(ROUND(((P146+M146)-(C146*4))/(C146*4),3),"0.0%")</f>
        <v>0.0%</v>
      </c>
      <c r="S146" s="388" t="str">
        <f>IFERROR(ROUND(S145/S158,0),"$0")</f>
        <v>$0</v>
      </c>
      <c r="T146" s="260" t="str">
        <f t="shared" ref="T146:T155" si="308">IFERROR(ROUND((S146-C146)/C146,3),"0.0%")</f>
        <v>0.0%</v>
      </c>
      <c r="U146" s="307" t="str">
        <f t="shared" ref="U146:U155" si="309">IFERROR(ROUND(((S146+P146+M146)-(C146*5))/(C146*5),3),"0.0%")</f>
        <v>0.0%</v>
      </c>
      <c r="V146" s="388" t="str">
        <f>IFERROR(ROUND(V145/V158,0),"$0")</f>
        <v>$0</v>
      </c>
      <c r="W146" s="260" t="str">
        <f t="shared" ref="W146:W155" si="310">IFERROR(ROUND((V146-C146)/C146,3),"0.0%")</f>
        <v>0.0%</v>
      </c>
      <c r="X146" s="307" t="str">
        <f t="shared" ref="X146:X155" si="311">IFERROR(ROUND(((V146+S146+P146+M146)-(C146*6))/(C146*6),3),"0.0%")</f>
        <v>0.0%</v>
      </c>
      <c r="Y146" s="388" t="str">
        <f>IFERROR(ROUND(Y145/Y158,0),"$0")</f>
        <v>$0</v>
      </c>
      <c r="Z146" s="260" t="str">
        <f t="shared" ref="Z146:Z155" si="312">IFERROR(ROUND((Y146-(C146*3))/(C146*3),3),"0.0%")</f>
        <v>0.0%</v>
      </c>
      <c r="AA146" s="307" t="str">
        <f t="shared" ref="AA146:AA155" si="313">IFERROR(ROUND(((Y146+M146)-(C146*6))/(C146*6),3),"0.0%")</f>
        <v>0.0%</v>
      </c>
      <c r="AB146" s="388" t="str">
        <f>IFERROR(ROUND(AB145/AB158,0),"$0")</f>
        <v>$0</v>
      </c>
      <c r="AC146" s="260" t="str">
        <f t="shared" ref="AC146:AC159" si="314">IFERROR(ROUND((AB146-C146)/C146,3),"0.0%")</f>
        <v>0.0%</v>
      </c>
      <c r="AD146" s="307" t="str">
        <f t="shared" ref="AD146:AD159" si="315">IFERROR(ROUND(((AB146+Y146+M146)-(C146*7))/(C146*7),3),"0.0%")</f>
        <v>0.0%</v>
      </c>
      <c r="AE146" s="388" t="str">
        <f>IFERROR(ROUND(AE145/AE158,0),"$0")</f>
        <v>$0</v>
      </c>
      <c r="AF146" s="260" t="str">
        <f t="shared" ref="AF146:AF158" si="316">IFERROR(ROUND((AE146-C146)/C146,3),"0.0%")</f>
        <v>0.0%</v>
      </c>
      <c r="AG146" s="307" t="str">
        <f t="shared" ref="AG146:AG158" si="317">IFERROR(ROUND(((AE146+AB146+Y146+M146)-(C146*8))/(C146*8),3),"0.0%")</f>
        <v>0.0%</v>
      </c>
      <c r="AH146" s="388" t="str">
        <f>IFERROR(ROUND(AH145/AH158,0),"$0")</f>
        <v>$0</v>
      </c>
      <c r="AI146" s="260" t="str">
        <f t="shared" ref="AI146:AI159" si="318">IFERROR(ROUND((AH146-C146)/C146,3),"0.0%")</f>
        <v>0.0%</v>
      </c>
      <c r="AJ146" s="307" t="str">
        <f t="shared" ref="AJ146:AJ159" si="319">IFERROR(ROUND(((AH146+AE146+AB146+Y146+M146)-(C146*9))/(C146*9),3),"0.0%")</f>
        <v>0.0%</v>
      </c>
      <c r="AK146" s="388" t="str">
        <f>IFERROR(ROUND(AK145/AK158,0),"$0")</f>
        <v>$0</v>
      </c>
      <c r="AL146" s="260" t="str">
        <f t="shared" ref="AL146:AL159" si="320">IFERROR(ROUND((AK146-(C146*3))/(C146*3),3),"0.0%")</f>
        <v>0.0%</v>
      </c>
      <c r="AM146" s="307" t="str">
        <f t="shared" ref="AM146:AM159" si="321">IFERROR(ROUND(((AK146+Y146+M146)-(C146*9))/(C146*9),3),"0.0%")</f>
        <v>0.0%</v>
      </c>
      <c r="AN146" s="388" t="str">
        <f>IFERROR(ROUND(AN145/AN158,0),"$0")</f>
        <v>$0</v>
      </c>
      <c r="AO146" s="260" t="str">
        <f t="shared" ref="AO146:AO159" si="322">IFERROR(ROUND((AN146-C146)/C146,3),"0.0%")</f>
        <v>0.0%</v>
      </c>
      <c r="AP146" s="307" t="str">
        <f t="shared" ref="AP146:AP159" si="323">IFERROR(ROUND(((AN146+AK146+Y146+M146)-(C146*10))/(C146*10),3),"0.0%")</f>
        <v>0.0%</v>
      </c>
      <c r="AQ146" s="388" t="str">
        <f>IFERROR(ROUND(AQ145/AQ158,0),"$0")</f>
        <v>$0</v>
      </c>
      <c r="AR146" s="260" t="str">
        <f t="shared" ref="AR146:AR159" si="324">IFERROR(ROUND((AQ146-C146)/C146,3),"0.0%")</f>
        <v>0.0%</v>
      </c>
      <c r="AS146" s="307" t="str">
        <f t="shared" ref="AS146:AS159" si="325">IFERROR(ROUND(((AQ146+AN146+AK146+Y146+M146)-(C146*11))/(C146*11),3),"0.0%")</f>
        <v>0.0%</v>
      </c>
      <c r="AT146" s="388" t="str">
        <f>IFERROR(ROUND(AT145/AT158,0),"$0")</f>
        <v>$0</v>
      </c>
      <c r="AU146" s="260" t="str">
        <f t="shared" ref="AU146:AU159" si="326">IFERROR(ROUND((AT146-C146)/C146,3),"0.0%")</f>
        <v>0.0%</v>
      </c>
      <c r="AV146" s="307" t="str">
        <f t="shared" ref="AV146:AV159" si="327">IFERROR(ROUND(((AT146+AQ146+AN146+AK146+Y146+M146)-(C146*12))/(C146*12),3),"0.0%")</f>
        <v>0.0%</v>
      </c>
      <c r="AW146" s="388" t="str">
        <f>IFERROR(ROUND(AW145/AW158,0),"$0")</f>
        <v>$0</v>
      </c>
      <c r="AX146" s="260" t="str">
        <f t="shared" ref="AX146:AX155" si="328">IFERROR(ROUND((AW146-(C146*3))/(C146*3),3),"0.0%")</f>
        <v>0.0%</v>
      </c>
      <c r="AY146" s="307" t="str">
        <f t="shared" ref="AY146:AY155" si="329">IFERROR(ROUND(((AW146+AK146+Y146+M146)-(C146*12))/(C146*12),3),"0.0%")</f>
        <v>0.0%</v>
      </c>
      <c r="AZ146" s="388" t="str">
        <f>IFERROR(ROUND(AZ145/AZ158,0),"$0")</f>
        <v>$0</v>
      </c>
      <c r="BA146" s="260" t="str">
        <f t="shared" ref="BA146:BA155" si="330">N146</f>
        <v>0.0%</v>
      </c>
      <c r="BB146" s="307" t="str">
        <f t="shared" ref="BB146:BB155" si="331">O146</f>
        <v>0.0%</v>
      </c>
      <c r="BC146" s="388" t="str">
        <f>IFERROR(ROUND(BC145/BC158,0),"$0")</f>
        <v>$0</v>
      </c>
      <c r="BD146" s="260" t="str">
        <f t="shared" ref="BD146:BD155" si="332">Z146</f>
        <v>0.0%</v>
      </c>
      <c r="BE146" s="307" t="str">
        <f t="shared" ref="BE146:BE155" si="333">AA146</f>
        <v>0.0%</v>
      </c>
      <c r="BF146" s="388" t="str">
        <f>IFERROR(ROUND(BF145/BF158,0),"$0")</f>
        <v>$0</v>
      </c>
      <c r="BG146" s="260" t="str">
        <f t="shared" ref="BG146:BG155" si="334">AL146</f>
        <v>0.0%</v>
      </c>
      <c r="BH146" s="307" t="str">
        <f t="shared" ref="BH146:BH155" si="335">AM146</f>
        <v>0.0%</v>
      </c>
      <c r="BI146" s="388" t="str">
        <f>IFERROR(ROUND(BI145/BI158,0),"$0")</f>
        <v>$0</v>
      </c>
      <c r="BJ146" s="260" t="str">
        <f t="shared" ref="BJ146:BJ155" si="336">AX146</f>
        <v>0.0%</v>
      </c>
      <c r="BK146" s="261" t="str">
        <f t="shared" ref="BK146:BK155" si="337">AY146</f>
        <v>0.0%</v>
      </c>
      <c r="BL146" s="388">
        <f t="shared" ref="BL146:BL159" si="338">ROUND(AZ146+BC146+BF146+BI146,0)</f>
        <v>0</v>
      </c>
      <c r="BM146" s="307" t="str">
        <f t="shared" ref="BM146:BM159" si="339">IFERROR(ROUND((BL146-B146)/B146,3),"0.0%")</f>
        <v>0.0%</v>
      </c>
    </row>
    <row r="147" spans="1:65" s="234" customFormat="1" ht="12" customHeight="1" thickBot="1" x14ac:dyDescent="0.25">
      <c r="A147" s="347" t="s">
        <v>511</v>
      </c>
      <c r="B147" s="445" t="str">
        <f>IFERROR(ROUND(B145/B159,0),"$0")</f>
        <v>$0</v>
      </c>
      <c r="C147" s="446">
        <f t="shared" si="297"/>
        <v>0</v>
      </c>
      <c r="D147" s="445" t="str">
        <f>IFERROR(ROUND(D145/D159,0),"$0")</f>
        <v>$0</v>
      </c>
      <c r="E147" s="308" t="str">
        <f t="shared" si="298"/>
        <v>0.0%</v>
      </c>
      <c r="F147" s="309" t="str">
        <f t="shared" si="299"/>
        <v>0.0%</v>
      </c>
      <c r="G147" s="445" t="str">
        <f>IFERROR(ROUND(G145/G159,0),"$0")</f>
        <v>$0</v>
      </c>
      <c r="H147" s="308" t="str">
        <f t="shared" si="300"/>
        <v>0.0%</v>
      </c>
      <c r="I147" s="309" t="str">
        <f t="shared" si="301"/>
        <v>0.0%</v>
      </c>
      <c r="J147" s="445" t="str">
        <f>IFERROR(ROUND(J145/J159,0),"$0")</f>
        <v>$0</v>
      </c>
      <c r="K147" s="308" t="str">
        <f t="shared" si="302"/>
        <v>0.0%</v>
      </c>
      <c r="L147" s="309" t="str">
        <f t="shared" si="303"/>
        <v>0.0%</v>
      </c>
      <c r="M147" s="445" t="str">
        <f>IFERROR(ROUND(M145/M159,0),"$0")</f>
        <v>$0</v>
      </c>
      <c r="N147" s="308" t="str">
        <f t="shared" si="304"/>
        <v>0.0%</v>
      </c>
      <c r="O147" s="309" t="str">
        <f t="shared" si="305"/>
        <v>0.0%</v>
      </c>
      <c r="P147" s="445" t="str">
        <f>IFERROR(ROUND(P145/P159,0),"$0")</f>
        <v>$0</v>
      </c>
      <c r="Q147" s="308" t="str">
        <f t="shared" si="306"/>
        <v>0.0%</v>
      </c>
      <c r="R147" s="309" t="str">
        <f t="shared" si="307"/>
        <v>0.0%</v>
      </c>
      <c r="S147" s="445" t="str">
        <f>IFERROR(ROUND(S145/S159,0),"$0")</f>
        <v>$0</v>
      </c>
      <c r="T147" s="308" t="str">
        <f t="shared" si="308"/>
        <v>0.0%</v>
      </c>
      <c r="U147" s="309" t="str">
        <f t="shared" si="309"/>
        <v>0.0%</v>
      </c>
      <c r="V147" s="445" t="str">
        <f>IFERROR(ROUND(V145/V159,0),"$0")</f>
        <v>$0</v>
      </c>
      <c r="W147" s="308" t="str">
        <f t="shared" si="310"/>
        <v>0.0%</v>
      </c>
      <c r="X147" s="309" t="str">
        <f t="shared" si="311"/>
        <v>0.0%</v>
      </c>
      <c r="Y147" s="445" t="str">
        <f>IFERROR(ROUND(Y145/Y159,0),"$0")</f>
        <v>$0</v>
      </c>
      <c r="Z147" s="308" t="str">
        <f t="shared" si="312"/>
        <v>0.0%</v>
      </c>
      <c r="AA147" s="309" t="str">
        <f t="shared" si="313"/>
        <v>0.0%</v>
      </c>
      <c r="AB147" s="445" t="str">
        <f>IFERROR(ROUND(AB145/AB159,0),"$0")</f>
        <v>$0</v>
      </c>
      <c r="AC147" s="308" t="str">
        <f t="shared" si="314"/>
        <v>0.0%</v>
      </c>
      <c r="AD147" s="309" t="str">
        <f t="shared" si="315"/>
        <v>0.0%</v>
      </c>
      <c r="AE147" s="445" t="str">
        <f>IFERROR(ROUND(AE145/AE159,0),"$0")</f>
        <v>$0</v>
      </c>
      <c r="AF147" s="308" t="str">
        <f t="shared" si="316"/>
        <v>0.0%</v>
      </c>
      <c r="AG147" s="309" t="str">
        <f t="shared" si="317"/>
        <v>0.0%</v>
      </c>
      <c r="AH147" s="445" t="str">
        <f>IFERROR(ROUND(AH145/AH159,0),"$0")</f>
        <v>$0</v>
      </c>
      <c r="AI147" s="308" t="str">
        <f t="shared" si="318"/>
        <v>0.0%</v>
      </c>
      <c r="AJ147" s="309" t="str">
        <f t="shared" si="319"/>
        <v>0.0%</v>
      </c>
      <c r="AK147" s="445" t="str">
        <f>IFERROR(ROUND(AK145/AK159,0),"$0")</f>
        <v>$0</v>
      </c>
      <c r="AL147" s="308" t="str">
        <f t="shared" si="320"/>
        <v>0.0%</v>
      </c>
      <c r="AM147" s="309" t="str">
        <f t="shared" si="321"/>
        <v>0.0%</v>
      </c>
      <c r="AN147" s="445" t="str">
        <f>IFERROR(ROUND(AN145/AN159,0),"$0")</f>
        <v>$0</v>
      </c>
      <c r="AO147" s="308" t="str">
        <f t="shared" si="322"/>
        <v>0.0%</v>
      </c>
      <c r="AP147" s="309" t="str">
        <f t="shared" si="323"/>
        <v>0.0%</v>
      </c>
      <c r="AQ147" s="445" t="str">
        <f>IFERROR(ROUND(AQ145/AQ159,0),"$0")</f>
        <v>$0</v>
      </c>
      <c r="AR147" s="308" t="str">
        <f t="shared" si="324"/>
        <v>0.0%</v>
      </c>
      <c r="AS147" s="309" t="str">
        <f t="shared" si="325"/>
        <v>0.0%</v>
      </c>
      <c r="AT147" s="445" t="str">
        <f>IFERROR(ROUND(AT145/AT159,0),"$0")</f>
        <v>$0</v>
      </c>
      <c r="AU147" s="308" t="str">
        <f t="shared" si="326"/>
        <v>0.0%</v>
      </c>
      <c r="AV147" s="309" t="str">
        <f t="shared" si="327"/>
        <v>0.0%</v>
      </c>
      <c r="AW147" s="445" t="str">
        <f>IFERROR(ROUND(AW145/AW159,0),"$0")</f>
        <v>$0</v>
      </c>
      <c r="AX147" s="308" t="str">
        <f t="shared" si="328"/>
        <v>0.0%</v>
      </c>
      <c r="AY147" s="309" t="str">
        <f t="shared" si="329"/>
        <v>0.0%</v>
      </c>
      <c r="AZ147" s="445" t="str">
        <f>IFERROR(ROUND(AZ145/AZ159,0),"$0")</f>
        <v>$0</v>
      </c>
      <c r="BA147" s="308" t="str">
        <f t="shared" si="330"/>
        <v>0.0%</v>
      </c>
      <c r="BB147" s="309" t="str">
        <f t="shared" si="331"/>
        <v>0.0%</v>
      </c>
      <c r="BC147" s="445" t="str">
        <f>IFERROR(ROUND(BC145/BC159,0),"$0")</f>
        <v>$0</v>
      </c>
      <c r="BD147" s="308" t="str">
        <f t="shared" si="332"/>
        <v>0.0%</v>
      </c>
      <c r="BE147" s="309" t="str">
        <f t="shared" si="333"/>
        <v>0.0%</v>
      </c>
      <c r="BF147" s="445" t="str">
        <f>IFERROR(ROUND(BF145/BF159,0),"$0")</f>
        <v>$0</v>
      </c>
      <c r="BG147" s="308" t="str">
        <f t="shared" si="334"/>
        <v>0.0%</v>
      </c>
      <c r="BH147" s="309" t="str">
        <f t="shared" si="335"/>
        <v>0.0%</v>
      </c>
      <c r="BI147" s="445" t="str">
        <f>IFERROR(ROUND(BI145/BI159,0),"$0")</f>
        <v>$0</v>
      </c>
      <c r="BJ147" s="308" t="str">
        <f t="shared" si="336"/>
        <v>0.0%</v>
      </c>
      <c r="BK147" s="310" t="str">
        <f t="shared" si="337"/>
        <v>0.0%</v>
      </c>
      <c r="BL147" s="445">
        <f t="shared" si="338"/>
        <v>0</v>
      </c>
      <c r="BM147" s="309" t="str">
        <f t="shared" si="339"/>
        <v>0.0%</v>
      </c>
    </row>
    <row r="148" spans="1:65" s="234" customFormat="1" ht="12" x14ac:dyDescent="0.2">
      <c r="A148" s="348"/>
      <c r="B148" s="447"/>
      <c r="C148" s="448"/>
      <c r="D148" s="447"/>
      <c r="E148" s="264"/>
      <c r="F148" s="265"/>
      <c r="G148" s="447"/>
      <c r="H148" s="264"/>
      <c r="I148" s="265"/>
      <c r="J148" s="447"/>
      <c r="K148" s="264"/>
      <c r="L148" s="265"/>
      <c r="M148" s="447"/>
      <c r="N148" s="264"/>
      <c r="O148" s="265"/>
      <c r="P148" s="447"/>
      <c r="Q148" s="264"/>
      <c r="R148" s="265"/>
      <c r="S148" s="447"/>
      <c r="T148" s="264"/>
      <c r="U148" s="265"/>
      <c r="V148" s="447"/>
      <c r="W148" s="264"/>
      <c r="X148" s="265"/>
      <c r="Y148" s="447"/>
      <c r="Z148" s="264"/>
      <c r="AA148" s="265"/>
      <c r="AB148" s="447"/>
      <c r="AC148" s="264"/>
      <c r="AD148" s="265"/>
      <c r="AE148" s="447"/>
      <c r="AF148" s="264"/>
      <c r="AG148" s="265"/>
      <c r="AH148" s="447"/>
      <c r="AI148" s="264"/>
      <c r="AJ148" s="265"/>
      <c r="AK148" s="447"/>
      <c r="AL148" s="264"/>
      <c r="AM148" s="265"/>
      <c r="AN148" s="447"/>
      <c r="AO148" s="264"/>
      <c r="AP148" s="265"/>
      <c r="AQ148" s="447"/>
      <c r="AR148" s="264"/>
      <c r="AS148" s="265"/>
      <c r="AT148" s="447"/>
      <c r="AU148" s="264"/>
      <c r="AV148" s="265"/>
      <c r="AW148" s="447"/>
      <c r="AX148" s="264"/>
      <c r="AY148" s="265"/>
      <c r="AZ148" s="447"/>
      <c r="BA148" s="264"/>
      <c r="BB148" s="265"/>
      <c r="BC148" s="447"/>
      <c r="BD148" s="264"/>
      <c r="BE148" s="265"/>
      <c r="BF148" s="447"/>
      <c r="BG148" s="264"/>
      <c r="BH148" s="265"/>
      <c r="BI148" s="447"/>
      <c r="BJ148" s="264"/>
      <c r="BK148" s="264"/>
      <c r="BL148" s="449"/>
      <c r="BM148" s="340"/>
    </row>
    <row r="149" spans="1:65" s="234" customFormat="1" ht="36" x14ac:dyDescent="0.2">
      <c r="A149" s="250" t="s">
        <v>393</v>
      </c>
      <c r="B149" s="388">
        <f>B104+B59</f>
        <v>0</v>
      </c>
      <c r="C149" s="277">
        <f t="shared" si="297"/>
        <v>0</v>
      </c>
      <c r="D149" s="388">
        <f>D104+D59</f>
        <v>0</v>
      </c>
      <c r="E149" s="260" t="str">
        <f t="shared" si="298"/>
        <v>0.0%</v>
      </c>
      <c r="F149" s="307" t="str">
        <f t="shared" si="299"/>
        <v>0.0%</v>
      </c>
      <c r="G149" s="388">
        <f>G104+G59</f>
        <v>0</v>
      </c>
      <c r="H149" s="260" t="str">
        <f t="shared" si="300"/>
        <v>0.0%</v>
      </c>
      <c r="I149" s="307" t="str">
        <f t="shared" si="301"/>
        <v>0.0%</v>
      </c>
      <c r="J149" s="388">
        <f>J104+J59</f>
        <v>0</v>
      </c>
      <c r="K149" s="260" t="str">
        <f t="shared" si="302"/>
        <v>0.0%</v>
      </c>
      <c r="L149" s="307" t="str">
        <f t="shared" si="303"/>
        <v>0.0%</v>
      </c>
      <c r="M149" s="388">
        <f>M104+M59</f>
        <v>0</v>
      </c>
      <c r="N149" s="260" t="str">
        <f t="shared" si="304"/>
        <v>0.0%</v>
      </c>
      <c r="O149" s="307" t="str">
        <f t="shared" si="305"/>
        <v>0.0%</v>
      </c>
      <c r="P149" s="388">
        <f>P104+P59</f>
        <v>0</v>
      </c>
      <c r="Q149" s="260" t="str">
        <f t="shared" si="306"/>
        <v>0.0%</v>
      </c>
      <c r="R149" s="307" t="str">
        <f t="shared" si="307"/>
        <v>0.0%</v>
      </c>
      <c r="S149" s="388">
        <f>S104+S59</f>
        <v>0</v>
      </c>
      <c r="T149" s="260" t="str">
        <f t="shared" si="308"/>
        <v>0.0%</v>
      </c>
      <c r="U149" s="307" t="str">
        <f t="shared" si="309"/>
        <v>0.0%</v>
      </c>
      <c r="V149" s="388">
        <f>V104+V59</f>
        <v>0</v>
      </c>
      <c r="W149" s="260" t="str">
        <f t="shared" si="310"/>
        <v>0.0%</v>
      </c>
      <c r="X149" s="307" t="str">
        <f t="shared" si="311"/>
        <v>0.0%</v>
      </c>
      <c r="Y149" s="388">
        <f>Y104+Y59</f>
        <v>0</v>
      </c>
      <c r="Z149" s="260" t="str">
        <f t="shared" si="312"/>
        <v>0.0%</v>
      </c>
      <c r="AA149" s="307" t="str">
        <f t="shared" si="313"/>
        <v>0.0%</v>
      </c>
      <c r="AB149" s="388">
        <f>AB104+AB59</f>
        <v>0</v>
      </c>
      <c r="AC149" s="260" t="str">
        <f t="shared" si="314"/>
        <v>0.0%</v>
      </c>
      <c r="AD149" s="307" t="str">
        <f t="shared" si="315"/>
        <v>0.0%</v>
      </c>
      <c r="AE149" s="388">
        <f>AE104+AE59</f>
        <v>0</v>
      </c>
      <c r="AF149" s="260" t="str">
        <f t="shared" si="316"/>
        <v>0.0%</v>
      </c>
      <c r="AG149" s="307" t="str">
        <f t="shared" si="317"/>
        <v>0.0%</v>
      </c>
      <c r="AH149" s="388">
        <f>AH104+AH59</f>
        <v>0</v>
      </c>
      <c r="AI149" s="260" t="str">
        <f t="shared" si="318"/>
        <v>0.0%</v>
      </c>
      <c r="AJ149" s="307" t="str">
        <f t="shared" si="319"/>
        <v>0.0%</v>
      </c>
      <c r="AK149" s="388">
        <f>AK104+AK59</f>
        <v>0</v>
      </c>
      <c r="AL149" s="260" t="str">
        <f t="shared" si="320"/>
        <v>0.0%</v>
      </c>
      <c r="AM149" s="307" t="str">
        <f t="shared" si="321"/>
        <v>0.0%</v>
      </c>
      <c r="AN149" s="388">
        <f>AN104+AN59</f>
        <v>0</v>
      </c>
      <c r="AO149" s="260" t="str">
        <f t="shared" si="322"/>
        <v>0.0%</v>
      </c>
      <c r="AP149" s="307" t="str">
        <f t="shared" si="323"/>
        <v>0.0%</v>
      </c>
      <c r="AQ149" s="388">
        <f>AQ104+AQ59</f>
        <v>0</v>
      </c>
      <c r="AR149" s="260" t="str">
        <f t="shared" si="324"/>
        <v>0.0%</v>
      </c>
      <c r="AS149" s="307" t="str">
        <f t="shared" si="325"/>
        <v>0.0%</v>
      </c>
      <c r="AT149" s="388">
        <f>AT104+AT59</f>
        <v>0</v>
      </c>
      <c r="AU149" s="260" t="str">
        <f t="shared" si="326"/>
        <v>0.0%</v>
      </c>
      <c r="AV149" s="307" t="str">
        <f t="shared" si="327"/>
        <v>0.0%</v>
      </c>
      <c r="AW149" s="388">
        <f>AW104+AW59</f>
        <v>0</v>
      </c>
      <c r="AX149" s="260" t="str">
        <f t="shared" si="328"/>
        <v>0.0%</v>
      </c>
      <c r="AY149" s="307" t="str">
        <f t="shared" si="329"/>
        <v>0.0%</v>
      </c>
      <c r="AZ149" s="388">
        <f>AZ104+AZ59</f>
        <v>0</v>
      </c>
      <c r="BA149" s="260" t="str">
        <f t="shared" si="330"/>
        <v>0.0%</v>
      </c>
      <c r="BB149" s="307" t="str">
        <f t="shared" si="331"/>
        <v>0.0%</v>
      </c>
      <c r="BC149" s="388">
        <f>BC104+BC59</f>
        <v>0</v>
      </c>
      <c r="BD149" s="260" t="str">
        <f t="shared" si="332"/>
        <v>0.0%</v>
      </c>
      <c r="BE149" s="307" t="str">
        <f t="shared" si="333"/>
        <v>0.0%</v>
      </c>
      <c r="BF149" s="388">
        <f>BF104+BF59</f>
        <v>0</v>
      </c>
      <c r="BG149" s="260" t="str">
        <f t="shared" si="334"/>
        <v>0.0%</v>
      </c>
      <c r="BH149" s="307" t="str">
        <f t="shared" si="335"/>
        <v>0.0%</v>
      </c>
      <c r="BI149" s="388">
        <f>BI104+BI59</f>
        <v>0</v>
      </c>
      <c r="BJ149" s="260" t="str">
        <f t="shared" si="336"/>
        <v>0.0%</v>
      </c>
      <c r="BK149" s="261" t="str">
        <f t="shared" si="337"/>
        <v>0.0%</v>
      </c>
      <c r="BL149" s="388">
        <f t="shared" si="338"/>
        <v>0</v>
      </c>
      <c r="BM149" s="307" t="str">
        <f t="shared" si="339"/>
        <v>0.0%</v>
      </c>
    </row>
    <row r="150" spans="1:65" s="234" customFormat="1" ht="12" x14ac:dyDescent="0.2">
      <c r="A150" s="346" t="s">
        <v>510</v>
      </c>
      <c r="B150" s="388" t="str">
        <f>IFERROR(ROUND(B149/B158,0),"$0")</f>
        <v>$0</v>
      </c>
      <c r="C150" s="277">
        <f t="shared" si="297"/>
        <v>0</v>
      </c>
      <c r="D150" s="388" t="str">
        <f>IFERROR(ROUND(D149/D158,0),"$0")</f>
        <v>$0</v>
      </c>
      <c r="E150" s="260" t="str">
        <f t="shared" si="298"/>
        <v>0.0%</v>
      </c>
      <c r="F150" s="307" t="str">
        <f t="shared" si="299"/>
        <v>0.0%</v>
      </c>
      <c r="G150" s="388" t="str">
        <f>IFERROR(ROUND(G149/G158,0),"$0")</f>
        <v>$0</v>
      </c>
      <c r="H150" s="260" t="str">
        <f t="shared" si="300"/>
        <v>0.0%</v>
      </c>
      <c r="I150" s="307" t="str">
        <f t="shared" si="301"/>
        <v>0.0%</v>
      </c>
      <c r="J150" s="388" t="str">
        <f>IFERROR(ROUND(J149/J158,0),"$0")</f>
        <v>$0</v>
      </c>
      <c r="K150" s="260" t="str">
        <f t="shared" si="302"/>
        <v>0.0%</v>
      </c>
      <c r="L150" s="307" t="str">
        <f t="shared" si="303"/>
        <v>0.0%</v>
      </c>
      <c r="M150" s="388" t="str">
        <f>IFERROR(ROUND(M149/M158,0),"$0")</f>
        <v>$0</v>
      </c>
      <c r="N150" s="260" t="str">
        <f t="shared" si="304"/>
        <v>0.0%</v>
      </c>
      <c r="O150" s="307" t="str">
        <f t="shared" si="305"/>
        <v>0.0%</v>
      </c>
      <c r="P150" s="388" t="str">
        <f>IFERROR(ROUND(P149/P158,0),"$0")</f>
        <v>$0</v>
      </c>
      <c r="Q150" s="260" t="str">
        <f t="shared" si="306"/>
        <v>0.0%</v>
      </c>
      <c r="R150" s="307" t="str">
        <f t="shared" si="307"/>
        <v>0.0%</v>
      </c>
      <c r="S150" s="388" t="str">
        <f>IFERROR(ROUND(S149/S158,0),"$0")</f>
        <v>$0</v>
      </c>
      <c r="T150" s="260" t="str">
        <f t="shared" si="308"/>
        <v>0.0%</v>
      </c>
      <c r="U150" s="307" t="str">
        <f t="shared" si="309"/>
        <v>0.0%</v>
      </c>
      <c r="V150" s="388" t="str">
        <f>IFERROR(ROUND(V149/V158,0),"$0")</f>
        <v>$0</v>
      </c>
      <c r="W150" s="260" t="str">
        <f t="shared" si="310"/>
        <v>0.0%</v>
      </c>
      <c r="X150" s="307" t="str">
        <f t="shared" si="311"/>
        <v>0.0%</v>
      </c>
      <c r="Y150" s="388" t="str">
        <f>IFERROR(ROUND(Y149/Y158,0),"$0")</f>
        <v>$0</v>
      </c>
      <c r="Z150" s="260" t="str">
        <f t="shared" si="312"/>
        <v>0.0%</v>
      </c>
      <c r="AA150" s="307" t="str">
        <f t="shared" si="313"/>
        <v>0.0%</v>
      </c>
      <c r="AB150" s="388" t="str">
        <f>IFERROR(ROUND(AB149/AB158,0),"$0")</f>
        <v>$0</v>
      </c>
      <c r="AC150" s="260" t="str">
        <f t="shared" si="314"/>
        <v>0.0%</v>
      </c>
      <c r="AD150" s="307" t="str">
        <f t="shared" si="315"/>
        <v>0.0%</v>
      </c>
      <c r="AE150" s="388" t="str">
        <f>IFERROR(ROUND(AE149/AE158,0),"$0")</f>
        <v>$0</v>
      </c>
      <c r="AF150" s="260" t="str">
        <f t="shared" si="316"/>
        <v>0.0%</v>
      </c>
      <c r="AG150" s="307" t="str">
        <f t="shared" si="317"/>
        <v>0.0%</v>
      </c>
      <c r="AH150" s="388" t="str">
        <f>IFERROR(ROUND(AH149/AH158,0),"$0")</f>
        <v>$0</v>
      </c>
      <c r="AI150" s="260" t="str">
        <f t="shared" si="318"/>
        <v>0.0%</v>
      </c>
      <c r="AJ150" s="307" t="str">
        <f t="shared" si="319"/>
        <v>0.0%</v>
      </c>
      <c r="AK150" s="388" t="str">
        <f>IFERROR(ROUND(AK149/AK158,0),"$0")</f>
        <v>$0</v>
      </c>
      <c r="AL150" s="260" t="str">
        <f t="shared" si="320"/>
        <v>0.0%</v>
      </c>
      <c r="AM150" s="307" t="str">
        <f t="shared" si="321"/>
        <v>0.0%</v>
      </c>
      <c r="AN150" s="388" t="str">
        <f>IFERROR(ROUND(AN149/AN158,0),"$0")</f>
        <v>$0</v>
      </c>
      <c r="AO150" s="260" t="str">
        <f t="shared" si="322"/>
        <v>0.0%</v>
      </c>
      <c r="AP150" s="307" t="str">
        <f t="shared" si="323"/>
        <v>0.0%</v>
      </c>
      <c r="AQ150" s="388" t="str">
        <f>IFERROR(ROUND(AQ149/AQ158,0),"$0")</f>
        <v>$0</v>
      </c>
      <c r="AR150" s="260" t="str">
        <f t="shared" si="324"/>
        <v>0.0%</v>
      </c>
      <c r="AS150" s="307" t="str">
        <f t="shared" si="325"/>
        <v>0.0%</v>
      </c>
      <c r="AT150" s="388" t="str">
        <f>IFERROR(ROUND(AT149/AT158,0),"$0")</f>
        <v>$0</v>
      </c>
      <c r="AU150" s="260" t="str">
        <f t="shared" si="326"/>
        <v>0.0%</v>
      </c>
      <c r="AV150" s="307" t="str">
        <f t="shared" si="327"/>
        <v>0.0%</v>
      </c>
      <c r="AW150" s="388" t="str">
        <f>IFERROR(ROUND(AW149/AW158,0),"$0")</f>
        <v>$0</v>
      </c>
      <c r="AX150" s="260" t="str">
        <f t="shared" si="328"/>
        <v>0.0%</v>
      </c>
      <c r="AY150" s="307" t="str">
        <f t="shared" si="329"/>
        <v>0.0%</v>
      </c>
      <c r="AZ150" s="388" t="str">
        <f>IFERROR(ROUND(AZ149/AZ158,0),"$0")</f>
        <v>$0</v>
      </c>
      <c r="BA150" s="260" t="str">
        <f t="shared" si="330"/>
        <v>0.0%</v>
      </c>
      <c r="BB150" s="307" t="str">
        <f t="shared" si="331"/>
        <v>0.0%</v>
      </c>
      <c r="BC150" s="388" t="str">
        <f>IFERROR(ROUND(BC149/BC158,0),"$0")</f>
        <v>$0</v>
      </c>
      <c r="BD150" s="260" t="str">
        <f t="shared" si="332"/>
        <v>0.0%</v>
      </c>
      <c r="BE150" s="307" t="str">
        <f t="shared" si="333"/>
        <v>0.0%</v>
      </c>
      <c r="BF150" s="388" t="str">
        <f>IFERROR(ROUND(BF149/BF158,0),"$0")</f>
        <v>$0</v>
      </c>
      <c r="BG150" s="260" t="str">
        <f t="shared" si="334"/>
        <v>0.0%</v>
      </c>
      <c r="BH150" s="307" t="str">
        <f t="shared" si="335"/>
        <v>0.0%</v>
      </c>
      <c r="BI150" s="388" t="str">
        <f>IFERROR(ROUND(BI149/BI158,0),"$0")</f>
        <v>$0</v>
      </c>
      <c r="BJ150" s="260" t="str">
        <f t="shared" si="336"/>
        <v>0.0%</v>
      </c>
      <c r="BK150" s="261" t="str">
        <f t="shared" si="337"/>
        <v>0.0%</v>
      </c>
      <c r="BL150" s="388">
        <f t="shared" si="338"/>
        <v>0</v>
      </c>
      <c r="BM150" s="307" t="str">
        <f t="shared" si="339"/>
        <v>0.0%</v>
      </c>
    </row>
    <row r="151" spans="1:65" s="234" customFormat="1" ht="12" customHeight="1" thickBot="1" x14ac:dyDescent="0.25">
      <c r="A151" s="347" t="s">
        <v>511</v>
      </c>
      <c r="B151" s="445" t="str">
        <f>IFERROR(ROUND(B149/B159,0),"$0")</f>
        <v>$0</v>
      </c>
      <c r="C151" s="446">
        <f t="shared" si="297"/>
        <v>0</v>
      </c>
      <c r="D151" s="445" t="str">
        <f>IFERROR(ROUND(D149/D159,0),"$0")</f>
        <v>$0</v>
      </c>
      <c r="E151" s="308" t="str">
        <f t="shared" si="298"/>
        <v>0.0%</v>
      </c>
      <c r="F151" s="309" t="str">
        <f t="shared" si="299"/>
        <v>0.0%</v>
      </c>
      <c r="G151" s="445" t="str">
        <f>IFERROR(ROUND(G149/G159,0),"$0")</f>
        <v>$0</v>
      </c>
      <c r="H151" s="308" t="str">
        <f t="shared" si="300"/>
        <v>0.0%</v>
      </c>
      <c r="I151" s="309" t="str">
        <f t="shared" si="301"/>
        <v>0.0%</v>
      </c>
      <c r="J151" s="445" t="str">
        <f>IFERROR(ROUND(J149/J159,0),"$0")</f>
        <v>$0</v>
      </c>
      <c r="K151" s="308" t="str">
        <f t="shared" si="302"/>
        <v>0.0%</v>
      </c>
      <c r="L151" s="309" t="str">
        <f t="shared" si="303"/>
        <v>0.0%</v>
      </c>
      <c r="M151" s="445" t="str">
        <f>IFERROR(ROUND(M149/M159,0),"$0")</f>
        <v>$0</v>
      </c>
      <c r="N151" s="308" t="str">
        <f t="shared" si="304"/>
        <v>0.0%</v>
      </c>
      <c r="O151" s="309" t="str">
        <f t="shared" si="305"/>
        <v>0.0%</v>
      </c>
      <c r="P151" s="445" t="str">
        <f>IFERROR(ROUND(P149/P159,0),"$0")</f>
        <v>$0</v>
      </c>
      <c r="Q151" s="308" t="str">
        <f t="shared" si="306"/>
        <v>0.0%</v>
      </c>
      <c r="R151" s="309" t="str">
        <f t="shared" si="307"/>
        <v>0.0%</v>
      </c>
      <c r="S151" s="445" t="str">
        <f>IFERROR(ROUND(S149/S159,0),"$0")</f>
        <v>$0</v>
      </c>
      <c r="T151" s="308" t="str">
        <f t="shared" si="308"/>
        <v>0.0%</v>
      </c>
      <c r="U151" s="309" t="str">
        <f t="shared" si="309"/>
        <v>0.0%</v>
      </c>
      <c r="V151" s="445" t="str">
        <f>IFERROR(ROUND(V149/V159,0),"$0")</f>
        <v>$0</v>
      </c>
      <c r="W151" s="308" t="str">
        <f t="shared" si="310"/>
        <v>0.0%</v>
      </c>
      <c r="X151" s="309" t="str">
        <f t="shared" si="311"/>
        <v>0.0%</v>
      </c>
      <c r="Y151" s="445" t="str">
        <f>IFERROR(ROUND(Y149/Y159,0),"$0")</f>
        <v>$0</v>
      </c>
      <c r="Z151" s="308" t="str">
        <f t="shared" si="312"/>
        <v>0.0%</v>
      </c>
      <c r="AA151" s="309" t="str">
        <f t="shared" si="313"/>
        <v>0.0%</v>
      </c>
      <c r="AB151" s="445" t="str">
        <f>IFERROR(ROUND(AB149/AB159,0),"$0")</f>
        <v>$0</v>
      </c>
      <c r="AC151" s="308" t="str">
        <f t="shared" si="314"/>
        <v>0.0%</v>
      </c>
      <c r="AD151" s="309" t="str">
        <f t="shared" si="315"/>
        <v>0.0%</v>
      </c>
      <c r="AE151" s="445" t="str">
        <f>IFERROR(ROUND(AE149/AE159,0),"$0")</f>
        <v>$0</v>
      </c>
      <c r="AF151" s="308" t="str">
        <f t="shared" si="316"/>
        <v>0.0%</v>
      </c>
      <c r="AG151" s="309" t="str">
        <f t="shared" si="317"/>
        <v>0.0%</v>
      </c>
      <c r="AH151" s="445" t="str">
        <f>IFERROR(ROUND(AH149/AH159,0),"$0")</f>
        <v>$0</v>
      </c>
      <c r="AI151" s="308" t="str">
        <f t="shared" si="318"/>
        <v>0.0%</v>
      </c>
      <c r="AJ151" s="309" t="str">
        <f t="shared" si="319"/>
        <v>0.0%</v>
      </c>
      <c r="AK151" s="445" t="str">
        <f>IFERROR(ROUND(AK149/AK159,0),"$0")</f>
        <v>$0</v>
      </c>
      <c r="AL151" s="308" t="str">
        <f t="shared" si="320"/>
        <v>0.0%</v>
      </c>
      <c r="AM151" s="309" t="str">
        <f t="shared" si="321"/>
        <v>0.0%</v>
      </c>
      <c r="AN151" s="445" t="str">
        <f>IFERROR(ROUND(AN149/AN159,0),"$0")</f>
        <v>$0</v>
      </c>
      <c r="AO151" s="308" t="str">
        <f t="shared" si="322"/>
        <v>0.0%</v>
      </c>
      <c r="AP151" s="309" t="str">
        <f t="shared" si="323"/>
        <v>0.0%</v>
      </c>
      <c r="AQ151" s="445" t="str">
        <f>IFERROR(ROUND(AQ149/AQ159,0),"$0")</f>
        <v>$0</v>
      </c>
      <c r="AR151" s="308" t="str">
        <f t="shared" si="324"/>
        <v>0.0%</v>
      </c>
      <c r="AS151" s="309" t="str">
        <f t="shared" si="325"/>
        <v>0.0%</v>
      </c>
      <c r="AT151" s="445" t="str">
        <f>IFERROR(ROUND(AT149/AT159,0),"$0")</f>
        <v>$0</v>
      </c>
      <c r="AU151" s="308" t="str">
        <f t="shared" si="326"/>
        <v>0.0%</v>
      </c>
      <c r="AV151" s="309" t="str">
        <f t="shared" si="327"/>
        <v>0.0%</v>
      </c>
      <c r="AW151" s="445" t="str">
        <f>IFERROR(ROUND(AW149/AW159,0),"$0")</f>
        <v>$0</v>
      </c>
      <c r="AX151" s="308" t="str">
        <f t="shared" si="328"/>
        <v>0.0%</v>
      </c>
      <c r="AY151" s="309" t="str">
        <f t="shared" si="329"/>
        <v>0.0%</v>
      </c>
      <c r="AZ151" s="445" t="str">
        <f>IFERROR(ROUND(AZ149/AZ159,0),"$0")</f>
        <v>$0</v>
      </c>
      <c r="BA151" s="308" t="str">
        <f t="shared" si="330"/>
        <v>0.0%</v>
      </c>
      <c r="BB151" s="309" t="str">
        <f t="shared" si="331"/>
        <v>0.0%</v>
      </c>
      <c r="BC151" s="445" t="str">
        <f>IFERROR(ROUND(BC149/BC159,0),"$0")</f>
        <v>$0</v>
      </c>
      <c r="BD151" s="308" t="str">
        <f t="shared" si="332"/>
        <v>0.0%</v>
      </c>
      <c r="BE151" s="309" t="str">
        <f t="shared" si="333"/>
        <v>0.0%</v>
      </c>
      <c r="BF151" s="445" t="str">
        <f>IFERROR(ROUND(BF149/BF159,0),"$0")</f>
        <v>$0</v>
      </c>
      <c r="BG151" s="308" t="str">
        <f t="shared" si="334"/>
        <v>0.0%</v>
      </c>
      <c r="BH151" s="309" t="str">
        <f t="shared" si="335"/>
        <v>0.0%</v>
      </c>
      <c r="BI151" s="445" t="str">
        <f>IFERROR(ROUND(BI149/BI159,0),"$0")</f>
        <v>$0</v>
      </c>
      <c r="BJ151" s="308" t="str">
        <f t="shared" si="336"/>
        <v>0.0%</v>
      </c>
      <c r="BK151" s="310" t="str">
        <f t="shared" si="337"/>
        <v>0.0%</v>
      </c>
      <c r="BL151" s="395">
        <f t="shared" si="338"/>
        <v>0</v>
      </c>
      <c r="BM151" s="313" t="str">
        <f t="shared" si="339"/>
        <v>0.0%</v>
      </c>
    </row>
    <row r="152" spans="1:65" s="234" customFormat="1" ht="12" x14ac:dyDescent="0.2">
      <c r="A152" s="337"/>
      <c r="B152" s="447"/>
      <c r="C152" s="448"/>
      <c r="D152" s="447"/>
      <c r="E152" s="264"/>
      <c r="F152" s="265"/>
      <c r="G152" s="447"/>
      <c r="H152" s="264"/>
      <c r="I152" s="265"/>
      <c r="J152" s="447"/>
      <c r="K152" s="264"/>
      <c r="L152" s="265"/>
      <c r="M152" s="447"/>
      <c r="N152" s="264"/>
      <c r="O152" s="265"/>
      <c r="P152" s="447"/>
      <c r="Q152" s="264"/>
      <c r="R152" s="265"/>
      <c r="S152" s="447"/>
      <c r="T152" s="264"/>
      <c r="U152" s="265"/>
      <c r="V152" s="447"/>
      <c r="W152" s="264"/>
      <c r="X152" s="265"/>
      <c r="Y152" s="447"/>
      <c r="Z152" s="264"/>
      <c r="AA152" s="265"/>
      <c r="AB152" s="447"/>
      <c r="AC152" s="264"/>
      <c r="AD152" s="265"/>
      <c r="AE152" s="447"/>
      <c r="AF152" s="264"/>
      <c r="AG152" s="265"/>
      <c r="AH152" s="447"/>
      <c r="AI152" s="264"/>
      <c r="AJ152" s="265"/>
      <c r="AK152" s="447"/>
      <c r="AL152" s="264"/>
      <c r="AM152" s="265"/>
      <c r="AN152" s="447"/>
      <c r="AO152" s="264"/>
      <c r="AP152" s="265"/>
      <c r="AQ152" s="447"/>
      <c r="AR152" s="264"/>
      <c r="AS152" s="265"/>
      <c r="AT152" s="447"/>
      <c r="AU152" s="264"/>
      <c r="AV152" s="265"/>
      <c r="AW152" s="447"/>
      <c r="AX152" s="264"/>
      <c r="AY152" s="265"/>
      <c r="AZ152" s="447"/>
      <c r="BA152" s="264"/>
      <c r="BB152" s="265"/>
      <c r="BC152" s="447"/>
      <c r="BD152" s="264"/>
      <c r="BE152" s="265"/>
      <c r="BF152" s="447"/>
      <c r="BG152" s="264"/>
      <c r="BH152" s="265"/>
      <c r="BI152" s="447"/>
      <c r="BJ152" s="264"/>
      <c r="BK152" s="264"/>
      <c r="BL152" s="366">
        <f t="shared" si="338"/>
        <v>0</v>
      </c>
      <c r="BM152" s="306"/>
    </row>
    <row r="153" spans="1:65" s="234" customFormat="1" ht="12" x14ac:dyDescent="0.2">
      <c r="A153" s="250" t="s">
        <v>394</v>
      </c>
      <c r="B153" s="388">
        <f>B137</f>
        <v>0</v>
      </c>
      <c r="C153" s="277">
        <f t="shared" si="297"/>
        <v>0</v>
      </c>
      <c r="D153" s="388">
        <f>D137</f>
        <v>0</v>
      </c>
      <c r="E153" s="260" t="str">
        <f t="shared" si="298"/>
        <v>0.0%</v>
      </c>
      <c r="F153" s="307" t="str">
        <f t="shared" si="299"/>
        <v>0.0%</v>
      </c>
      <c r="G153" s="388">
        <f>G137</f>
        <v>0</v>
      </c>
      <c r="H153" s="260" t="str">
        <f t="shared" si="300"/>
        <v>0.0%</v>
      </c>
      <c r="I153" s="307" t="str">
        <f t="shared" si="301"/>
        <v>0.0%</v>
      </c>
      <c r="J153" s="388">
        <f>J137</f>
        <v>0</v>
      </c>
      <c r="K153" s="260" t="str">
        <f t="shared" si="302"/>
        <v>0.0%</v>
      </c>
      <c r="L153" s="307" t="str">
        <f t="shared" si="303"/>
        <v>0.0%</v>
      </c>
      <c r="M153" s="388">
        <f>M137</f>
        <v>0</v>
      </c>
      <c r="N153" s="260" t="str">
        <f t="shared" si="304"/>
        <v>0.0%</v>
      </c>
      <c r="O153" s="307" t="str">
        <f t="shared" si="305"/>
        <v>0.0%</v>
      </c>
      <c r="P153" s="388">
        <f>P137</f>
        <v>0</v>
      </c>
      <c r="Q153" s="260" t="str">
        <f t="shared" si="306"/>
        <v>0.0%</v>
      </c>
      <c r="R153" s="307" t="str">
        <f t="shared" si="307"/>
        <v>0.0%</v>
      </c>
      <c r="S153" s="388">
        <f>S137</f>
        <v>0</v>
      </c>
      <c r="T153" s="260" t="str">
        <f t="shared" si="308"/>
        <v>0.0%</v>
      </c>
      <c r="U153" s="307" t="str">
        <f t="shared" si="309"/>
        <v>0.0%</v>
      </c>
      <c r="V153" s="388">
        <f>V137</f>
        <v>0</v>
      </c>
      <c r="W153" s="260" t="str">
        <f t="shared" si="310"/>
        <v>0.0%</v>
      </c>
      <c r="X153" s="307" t="str">
        <f t="shared" si="311"/>
        <v>0.0%</v>
      </c>
      <c r="Y153" s="388">
        <f>Y137</f>
        <v>0</v>
      </c>
      <c r="Z153" s="260" t="str">
        <f t="shared" si="312"/>
        <v>0.0%</v>
      </c>
      <c r="AA153" s="307" t="str">
        <f t="shared" si="313"/>
        <v>0.0%</v>
      </c>
      <c r="AB153" s="388">
        <f>AB137</f>
        <v>0</v>
      </c>
      <c r="AC153" s="260" t="str">
        <f t="shared" si="314"/>
        <v>0.0%</v>
      </c>
      <c r="AD153" s="307" t="str">
        <f t="shared" si="315"/>
        <v>0.0%</v>
      </c>
      <c r="AE153" s="388">
        <f>AE137</f>
        <v>0</v>
      </c>
      <c r="AF153" s="260" t="str">
        <f t="shared" si="316"/>
        <v>0.0%</v>
      </c>
      <c r="AG153" s="307" t="str">
        <f t="shared" si="317"/>
        <v>0.0%</v>
      </c>
      <c r="AH153" s="388">
        <f>AH137</f>
        <v>0</v>
      </c>
      <c r="AI153" s="260" t="str">
        <f t="shared" si="318"/>
        <v>0.0%</v>
      </c>
      <c r="AJ153" s="307" t="str">
        <f t="shared" si="319"/>
        <v>0.0%</v>
      </c>
      <c r="AK153" s="388">
        <f>AK137</f>
        <v>0</v>
      </c>
      <c r="AL153" s="260" t="str">
        <f t="shared" si="320"/>
        <v>0.0%</v>
      </c>
      <c r="AM153" s="307" t="str">
        <f t="shared" si="321"/>
        <v>0.0%</v>
      </c>
      <c r="AN153" s="388">
        <f>AN137</f>
        <v>0</v>
      </c>
      <c r="AO153" s="260" t="str">
        <f t="shared" si="322"/>
        <v>0.0%</v>
      </c>
      <c r="AP153" s="307" t="str">
        <f t="shared" si="323"/>
        <v>0.0%</v>
      </c>
      <c r="AQ153" s="388">
        <f>AQ137</f>
        <v>0</v>
      </c>
      <c r="AR153" s="260" t="str">
        <f t="shared" si="324"/>
        <v>0.0%</v>
      </c>
      <c r="AS153" s="307" t="str">
        <f t="shared" si="325"/>
        <v>0.0%</v>
      </c>
      <c r="AT153" s="388">
        <f>AT137</f>
        <v>0</v>
      </c>
      <c r="AU153" s="260" t="str">
        <f t="shared" si="326"/>
        <v>0.0%</v>
      </c>
      <c r="AV153" s="307" t="str">
        <f t="shared" si="327"/>
        <v>0.0%</v>
      </c>
      <c r="AW153" s="388">
        <f>AW137</f>
        <v>0</v>
      </c>
      <c r="AX153" s="260" t="str">
        <f t="shared" si="328"/>
        <v>0.0%</v>
      </c>
      <c r="AY153" s="307" t="str">
        <f t="shared" si="329"/>
        <v>0.0%</v>
      </c>
      <c r="AZ153" s="388">
        <f>AZ137</f>
        <v>0</v>
      </c>
      <c r="BA153" s="260" t="str">
        <f t="shared" si="330"/>
        <v>0.0%</v>
      </c>
      <c r="BB153" s="307" t="str">
        <f t="shared" si="331"/>
        <v>0.0%</v>
      </c>
      <c r="BC153" s="388">
        <f>BC137</f>
        <v>0</v>
      </c>
      <c r="BD153" s="260" t="str">
        <f t="shared" si="332"/>
        <v>0.0%</v>
      </c>
      <c r="BE153" s="307" t="str">
        <f t="shared" si="333"/>
        <v>0.0%</v>
      </c>
      <c r="BF153" s="388">
        <f>BF137</f>
        <v>0</v>
      </c>
      <c r="BG153" s="260" t="str">
        <f t="shared" si="334"/>
        <v>0.0%</v>
      </c>
      <c r="BH153" s="307" t="str">
        <f t="shared" si="335"/>
        <v>0.0%</v>
      </c>
      <c r="BI153" s="388">
        <f>BI137</f>
        <v>0</v>
      </c>
      <c r="BJ153" s="260" t="str">
        <f t="shared" si="336"/>
        <v>0.0%</v>
      </c>
      <c r="BK153" s="261" t="str">
        <f t="shared" si="337"/>
        <v>0.0%</v>
      </c>
      <c r="BL153" s="388">
        <f t="shared" si="338"/>
        <v>0</v>
      </c>
      <c r="BM153" s="307" t="str">
        <f t="shared" si="339"/>
        <v>0.0%</v>
      </c>
    </row>
    <row r="154" spans="1:65" s="234" customFormat="1" ht="12" x14ac:dyDescent="0.2">
      <c r="A154" s="346" t="s">
        <v>510</v>
      </c>
      <c r="B154" s="388" t="str">
        <f>IFERROR(ROUND(B153/B158,0),"$0")</f>
        <v>$0</v>
      </c>
      <c r="C154" s="277">
        <f t="shared" si="297"/>
        <v>0</v>
      </c>
      <c r="D154" s="388" t="str">
        <f>IFERROR(ROUND(D153/D158,0),"$0")</f>
        <v>$0</v>
      </c>
      <c r="E154" s="260" t="str">
        <f t="shared" si="298"/>
        <v>0.0%</v>
      </c>
      <c r="F154" s="307" t="str">
        <f t="shared" si="299"/>
        <v>0.0%</v>
      </c>
      <c r="G154" s="388" t="str">
        <f>IFERROR(ROUND(G153/G158,0),"$0")</f>
        <v>$0</v>
      </c>
      <c r="H154" s="260" t="str">
        <f t="shared" si="300"/>
        <v>0.0%</v>
      </c>
      <c r="I154" s="307" t="str">
        <f t="shared" si="301"/>
        <v>0.0%</v>
      </c>
      <c r="J154" s="388" t="str">
        <f>IFERROR(ROUND(J153/J158,0),"$0")</f>
        <v>$0</v>
      </c>
      <c r="K154" s="260" t="str">
        <f t="shared" si="302"/>
        <v>0.0%</v>
      </c>
      <c r="L154" s="307" t="str">
        <f t="shared" si="303"/>
        <v>0.0%</v>
      </c>
      <c r="M154" s="388" t="str">
        <f>IFERROR(ROUND(M153/M158,0),"$0")</f>
        <v>$0</v>
      </c>
      <c r="N154" s="260" t="str">
        <f t="shared" si="304"/>
        <v>0.0%</v>
      </c>
      <c r="O154" s="307" t="str">
        <f t="shared" si="305"/>
        <v>0.0%</v>
      </c>
      <c r="P154" s="388" t="str">
        <f>IFERROR(ROUND(P153/P158,0),"$0")</f>
        <v>$0</v>
      </c>
      <c r="Q154" s="260" t="str">
        <f t="shared" si="306"/>
        <v>0.0%</v>
      </c>
      <c r="R154" s="307" t="str">
        <f t="shared" si="307"/>
        <v>0.0%</v>
      </c>
      <c r="S154" s="388" t="str">
        <f>IFERROR(ROUND(S153/S158,0),"$0")</f>
        <v>$0</v>
      </c>
      <c r="T154" s="260" t="str">
        <f t="shared" si="308"/>
        <v>0.0%</v>
      </c>
      <c r="U154" s="307" t="str">
        <f t="shared" si="309"/>
        <v>0.0%</v>
      </c>
      <c r="V154" s="388" t="str">
        <f>IFERROR(ROUND(V153/V158,0),"$0")</f>
        <v>$0</v>
      </c>
      <c r="W154" s="260" t="str">
        <f t="shared" si="310"/>
        <v>0.0%</v>
      </c>
      <c r="X154" s="307" t="str">
        <f t="shared" si="311"/>
        <v>0.0%</v>
      </c>
      <c r="Y154" s="388" t="str">
        <f>IFERROR(ROUND(Y153/Y158,0),"$0")</f>
        <v>$0</v>
      </c>
      <c r="Z154" s="260" t="str">
        <f t="shared" si="312"/>
        <v>0.0%</v>
      </c>
      <c r="AA154" s="307" t="str">
        <f t="shared" si="313"/>
        <v>0.0%</v>
      </c>
      <c r="AB154" s="388" t="str">
        <f>IFERROR(ROUND(AB153/AB158,0),"$0")</f>
        <v>$0</v>
      </c>
      <c r="AC154" s="260" t="str">
        <f t="shared" si="314"/>
        <v>0.0%</v>
      </c>
      <c r="AD154" s="307" t="str">
        <f t="shared" si="315"/>
        <v>0.0%</v>
      </c>
      <c r="AE154" s="388" t="str">
        <f>IFERROR(ROUND(AE153/AE158,0),"$0")</f>
        <v>$0</v>
      </c>
      <c r="AF154" s="260" t="str">
        <f t="shared" si="316"/>
        <v>0.0%</v>
      </c>
      <c r="AG154" s="307" t="str">
        <f t="shared" si="317"/>
        <v>0.0%</v>
      </c>
      <c r="AH154" s="388" t="str">
        <f>IFERROR(ROUND(AH153/AH158,0),"$0")</f>
        <v>$0</v>
      </c>
      <c r="AI154" s="260" t="str">
        <f t="shared" si="318"/>
        <v>0.0%</v>
      </c>
      <c r="AJ154" s="307" t="str">
        <f t="shared" si="319"/>
        <v>0.0%</v>
      </c>
      <c r="AK154" s="388" t="str">
        <f>IFERROR(ROUND(AK153/AK158,0),"$0")</f>
        <v>$0</v>
      </c>
      <c r="AL154" s="260" t="str">
        <f t="shared" si="320"/>
        <v>0.0%</v>
      </c>
      <c r="AM154" s="307" t="str">
        <f t="shared" si="321"/>
        <v>0.0%</v>
      </c>
      <c r="AN154" s="388" t="str">
        <f>IFERROR(ROUND(AN153/AN158,0),"$0")</f>
        <v>$0</v>
      </c>
      <c r="AO154" s="260" t="str">
        <f t="shared" si="322"/>
        <v>0.0%</v>
      </c>
      <c r="AP154" s="307" t="str">
        <f t="shared" si="323"/>
        <v>0.0%</v>
      </c>
      <c r="AQ154" s="388" t="str">
        <f>IFERROR(ROUND(AQ153/AQ158,0),"$0")</f>
        <v>$0</v>
      </c>
      <c r="AR154" s="260" t="str">
        <f t="shared" si="324"/>
        <v>0.0%</v>
      </c>
      <c r="AS154" s="307" t="str">
        <f t="shared" si="325"/>
        <v>0.0%</v>
      </c>
      <c r="AT154" s="388" t="str">
        <f>IFERROR(ROUND(AT153/AT158,0),"$0")</f>
        <v>$0</v>
      </c>
      <c r="AU154" s="260" t="str">
        <f t="shared" si="326"/>
        <v>0.0%</v>
      </c>
      <c r="AV154" s="307" t="str">
        <f t="shared" si="327"/>
        <v>0.0%</v>
      </c>
      <c r="AW154" s="388" t="str">
        <f>IFERROR(ROUND(AW153/AW158,0),"$0")</f>
        <v>$0</v>
      </c>
      <c r="AX154" s="260" t="str">
        <f t="shared" si="328"/>
        <v>0.0%</v>
      </c>
      <c r="AY154" s="307" t="str">
        <f t="shared" si="329"/>
        <v>0.0%</v>
      </c>
      <c r="AZ154" s="388" t="str">
        <f>IFERROR(ROUND(AZ153/AZ158,0),"$0")</f>
        <v>$0</v>
      </c>
      <c r="BA154" s="260" t="str">
        <f t="shared" si="330"/>
        <v>0.0%</v>
      </c>
      <c r="BB154" s="307" t="str">
        <f t="shared" si="331"/>
        <v>0.0%</v>
      </c>
      <c r="BC154" s="388" t="str">
        <f>IFERROR(ROUND(BC153/BC158,0),"$0")</f>
        <v>$0</v>
      </c>
      <c r="BD154" s="260" t="str">
        <f t="shared" si="332"/>
        <v>0.0%</v>
      </c>
      <c r="BE154" s="307" t="str">
        <f t="shared" si="333"/>
        <v>0.0%</v>
      </c>
      <c r="BF154" s="388" t="str">
        <f>IFERROR(ROUND(BF153/BF158,0),"$0")</f>
        <v>$0</v>
      </c>
      <c r="BG154" s="260" t="str">
        <f t="shared" si="334"/>
        <v>0.0%</v>
      </c>
      <c r="BH154" s="307" t="str">
        <f t="shared" si="335"/>
        <v>0.0%</v>
      </c>
      <c r="BI154" s="388" t="str">
        <f>IFERROR(ROUND(BI153/BI158,0),"$0")</f>
        <v>$0</v>
      </c>
      <c r="BJ154" s="260" t="str">
        <f t="shared" si="336"/>
        <v>0.0%</v>
      </c>
      <c r="BK154" s="261" t="str">
        <f t="shared" si="337"/>
        <v>0.0%</v>
      </c>
      <c r="BL154" s="388">
        <f t="shared" si="338"/>
        <v>0</v>
      </c>
      <c r="BM154" s="307" t="str">
        <f t="shared" si="339"/>
        <v>0.0%</v>
      </c>
    </row>
    <row r="155" spans="1:65" s="234" customFormat="1" ht="12" customHeight="1" x14ac:dyDescent="0.2">
      <c r="A155" s="346" t="s">
        <v>511</v>
      </c>
      <c r="B155" s="388" t="str">
        <f>IFERROR(ROUND(B153/B159,0),"$0")</f>
        <v>$0</v>
      </c>
      <c r="C155" s="277">
        <f t="shared" si="297"/>
        <v>0</v>
      </c>
      <c r="D155" s="388" t="str">
        <f>IFERROR(ROUND(D153/D159,0),"$0")</f>
        <v>$0</v>
      </c>
      <c r="E155" s="260" t="str">
        <f t="shared" si="298"/>
        <v>0.0%</v>
      </c>
      <c r="F155" s="307" t="str">
        <f t="shared" si="299"/>
        <v>0.0%</v>
      </c>
      <c r="G155" s="388" t="str">
        <f>IFERROR(ROUND(G153/G159,0),"$0")</f>
        <v>$0</v>
      </c>
      <c r="H155" s="260" t="str">
        <f t="shared" si="300"/>
        <v>0.0%</v>
      </c>
      <c r="I155" s="307" t="str">
        <f t="shared" si="301"/>
        <v>0.0%</v>
      </c>
      <c r="J155" s="388" t="str">
        <f>IFERROR(ROUND(J153/J159,0),"$0")</f>
        <v>$0</v>
      </c>
      <c r="K155" s="260" t="str">
        <f t="shared" si="302"/>
        <v>0.0%</v>
      </c>
      <c r="L155" s="307" t="str">
        <f t="shared" si="303"/>
        <v>0.0%</v>
      </c>
      <c r="M155" s="388" t="str">
        <f>IFERROR(ROUND(M153/M159,0),"$0")</f>
        <v>$0</v>
      </c>
      <c r="N155" s="260" t="str">
        <f t="shared" si="304"/>
        <v>0.0%</v>
      </c>
      <c r="O155" s="307" t="str">
        <f t="shared" si="305"/>
        <v>0.0%</v>
      </c>
      <c r="P155" s="388" t="str">
        <f>IFERROR(ROUND(P153/P159,0),"$0")</f>
        <v>$0</v>
      </c>
      <c r="Q155" s="260" t="str">
        <f t="shared" si="306"/>
        <v>0.0%</v>
      </c>
      <c r="R155" s="307" t="str">
        <f t="shared" si="307"/>
        <v>0.0%</v>
      </c>
      <c r="S155" s="388" t="str">
        <f>IFERROR(ROUND(S153/S159,0),"$0")</f>
        <v>$0</v>
      </c>
      <c r="T155" s="260" t="str">
        <f t="shared" si="308"/>
        <v>0.0%</v>
      </c>
      <c r="U155" s="307" t="str">
        <f t="shared" si="309"/>
        <v>0.0%</v>
      </c>
      <c r="V155" s="388" t="str">
        <f>IFERROR(ROUND(V153/V159,0),"$0")</f>
        <v>$0</v>
      </c>
      <c r="W155" s="260" t="str">
        <f t="shared" si="310"/>
        <v>0.0%</v>
      </c>
      <c r="X155" s="307" t="str">
        <f t="shared" si="311"/>
        <v>0.0%</v>
      </c>
      <c r="Y155" s="388" t="str">
        <f>IFERROR(ROUND(Y153/Y159,0),"$0")</f>
        <v>$0</v>
      </c>
      <c r="Z155" s="260" t="str">
        <f t="shared" si="312"/>
        <v>0.0%</v>
      </c>
      <c r="AA155" s="307" t="str">
        <f t="shared" si="313"/>
        <v>0.0%</v>
      </c>
      <c r="AB155" s="388" t="str">
        <f>IFERROR(ROUND(AB153/AB159,0),"$0")</f>
        <v>$0</v>
      </c>
      <c r="AC155" s="260" t="str">
        <f t="shared" si="314"/>
        <v>0.0%</v>
      </c>
      <c r="AD155" s="307" t="str">
        <f t="shared" si="315"/>
        <v>0.0%</v>
      </c>
      <c r="AE155" s="388" t="str">
        <f>IFERROR(ROUND(AE153/AE159,0),"$0")</f>
        <v>$0</v>
      </c>
      <c r="AF155" s="260" t="str">
        <f t="shared" si="316"/>
        <v>0.0%</v>
      </c>
      <c r="AG155" s="307" t="str">
        <f t="shared" si="317"/>
        <v>0.0%</v>
      </c>
      <c r="AH155" s="388" t="str">
        <f>IFERROR(ROUND(AH153/AH159,0),"$0")</f>
        <v>$0</v>
      </c>
      <c r="AI155" s="260" t="str">
        <f t="shared" si="318"/>
        <v>0.0%</v>
      </c>
      <c r="AJ155" s="307" t="str">
        <f t="shared" si="319"/>
        <v>0.0%</v>
      </c>
      <c r="AK155" s="388" t="str">
        <f>IFERROR(ROUND(AK153/AK159,0),"$0")</f>
        <v>$0</v>
      </c>
      <c r="AL155" s="260" t="str">
        <f t="shared" si="320"/>
        <v>0.0%</v>
      </c>
      <c r="AM155" s="307" t="str">
        <f t="shared" si="321"/>
        <v>0.0%</v>
      </c>
      <c r="AN155" s="388" t="str">
        <f>IFERROR(ROUND(AN153/AN159,0),"$0")</f>
        <v>$0</v>
      </c>
      <c r="AO155" s="260" t="str">
        <f t="shared" si="322"/>
        <v>0.0%</v>
      </c>
      <c r="AP155" s="307" t="str">
        <f t="shared" si="323"/>
        <v>0.0%</v>
      </c>
      <c r="AQ155" s="388" t="str">
        <f>IFERROR(ROUND(AQ153/AQ159,0),"$0")</f>
        <v>$0</v>
      </c>
      <c r="AR155" s="260" t="str">
        <f t="shared" si="324"/>
        <v>0.0%</v>
      </c>
      <c r="AS155" s="307" t="str">
        <f t="shared" si="325"/>
        <v>0.0%</v>
      </c>
      <c r="AT155" s="388" t="str">
        <f>IFERROR(ROUND(AT153/AT159,0),"$0")</f>
        <v>$0</v>
      </c>
      <c r="AU155" s="260" t="str">
        <f t="shared" si="326"/>
        <v>0.0%</v>
      </c>
      <c r="AV155" s="307" t="str">
        <f t="shared" si="327"/>
        <v>0.0%</v>
      </c>
      <c r="AW155" s="388" t="str">
        <f>IFERROR(ROUND(AW153/AW159,0),"$0")</f>
        <v>$0</v>
      </c>
      <c r="AX155" s="260" t="str">
        <f t="shared" si="328"/>
        <v>0.0%</v>
      </c>
      <c r="AY155" s="307" t="str">
        <f t="shared" si="329"/>
        <v>0.0%</v>
      </c>
      <c r="AZ155" s="388" t="str">
        <f>IFERROR(ROUND(AZ153/AZ159,0),"$0")</f>
        <v>$0</v>
      </c>
      <c r="BA155" s="260" t="str">
        <f t="shared" si="330"/>
        <v>0.0%</v>
      </c>
      <c r="BB155" s="307" t="str">
        <f t="shared" si="331"/>
        <v>0.0%</v>
      </c>
      <c r="BC155" s="388" t="str">
        <f>IFERROR(ROUND(BC153/BC159,0),"$0")</f>
        <v>$0</v>
      </c>
      <c r="BD155" s="260" t="str">
        <f t="shared" si="332"/>
        <v>0.0%</v>
      </c>
      <c r="BE155" s="307" t="str">
        <f t="shared" si="333"/>
        <v>0.0%</v>
      </c>
      <c r="BF155" s="388" t="str">
        <f>IFERROR(ROUND(BF153/BF159,0),"$0")</f>
        <v>$0</v>
      </c>
      <c r="BG155" s="260" t="str">
        <f t="shared" si="334"/>
        <v>0.0%</v>
      </c>
      <c r="BH155" s="307" t="str">
        <f t="shared" si="335"/>
        <v>0.0%</v>
      </c>
      <c r="BI155" s="388" t="str">
        <f>IFERROR(ROUND(BI153/BI159,0),"$0")</f>
        <v>$0</v>
      </c>
      <c r="BJ155" s="260" t="str">
        <f t="shared" si="336"/>
        <v>0.0%</v>
      </c>
      <c r="BK155" s="261" t="str">
        <f t="shared" si="337"/>
        <v>0.0%</v>
      </c>
      <c r="BL155" s="388">
        <f t="shared" si="338"/>
        <v>0</v>
      </c>
      <c r="BM155" s="307" t="str">
        <f t="shared" si="339"/>
        <v>0.0%</v>
      </c>
    </row>
    <row r="156" spans="1:65" s="234" customFormat="1" thickBot="1" x14ac:dyDescent="0.25">
      <c r="A156" s="326"/>
      <c r="B156" s="407"/>
      <c r="C156" s="279"/>
      <c r="D156" s="408"/>
      <c r="E156" s="350"/>
      <c r="F156" s="351"/>
      <c r="G156" s="408"/>
      <c r="H156" s="350"/>
      <c r="I156" s="351"/>
      <c r="J156" s="408"/>
      <c r="K156" s="350"/>
      <c r="L156" s="351"/>
      <c r="M156" s="408"/>
      <c r="N156" s="350"/>
      <c r="O156" s="351"/>
      <c r="P156" s="408"/>
      <c r="Q156" s="350"/>
      <c r="R156" s="351"/>
      <c r="S156" s="408"/>
      <c r="T156" s="350"/>
      <c r="U156" s="351"/>
      <c r="V156" s="408"/>
      <c r="W156" s="350"/>
      <c r="X156" s="351"/>
      <c r="Y156" s="408"/>
      <c r="Z156" s="350"/>
      <c r="AA156" s="351"/>
      <c r="AB156" s="408"/>
      <c r="AC156" s="350"/>
      <c r="AD156" s="351"/>
      <c r="AE156" s="408"/>
      <c r="AF156" s="350"/>
      <c r="AG156" s="351"/>
      <c r="AH156" s="408"/>
      <c r="AI156" s="350"/>
      <c r="AJ156" s="351"/>
      <c r="AK156" s="408"/>
      <c r="AL156" s="350"/>
      <c r="AM156" s="351"/>
      <c r="AN156" s="408"/>
      <c r="AO156" s="350"/>
      <c r="AP156" s="351"/>
      <c r="AQ156" s="408"/>
      <c r="AR156" s="350"/>
      <c r="AS156" s="351"/>
      <c r="AT156" s="408"/>
      <c r="AU156" s="350"/>
      <c r="AV156" s="351"/>
      <c r="AW156" s="408"/>
      <c r="AX156" s="350"/>
      <c r="AY156" s="351"/>
      <c r="AZ156" s="408"/>
      <c r="BA156" s="350"/>
      <c r="BB156" s="351"/>
      <c r="BC156" s="408"/>
      <c r="BD156" s="350"/>
      <c r="BE156" s="351"/>
      <c r="BF156" s="408"/>
      <c r="BG156" s="350"/>
      <c r="BH156" s="351"/>
      <c r="BI156" s="408"/>
      <c r="BJ156" s="350"/>
      <c r="BK156" s="350"/>
      <c r="BL156" s="450">
        <f t="shared" si="338"/>
        <v>0</v>
      </c>
      <c r="BM156" s="351"/>
    </row>
    <row r="157" spans="1:65" s="234" customFormat="1" ht="13.5" thickTop="1" thickBot="1" x14ac:dyDescent="0.25">
      <c r="A157" s="240"/>
      <c r="B157" s="297"/>
      <c r="C157" s="297"/>
      <c r="D157" s="296"/>
      <c r="E157" s="266"/>
      <c r="F157" s="266"/>
      <c r="G157" s="296"/>
      <c r="H157" s="266"/>
      <c r="I157" s="266"/>
      <c r="J157" s="296"/>
      <c r="K157" s="266"/>
      <c r="L157" s="266"/>
      <c r="M157" s="296"/>
      <c r="N157" s="266"/>
      <c r="O157" s="296"/>
      <c r="P157" s="296"/>
      <c r="Q157" s="266"/>
      <c r="R157" s="266"/>
      <c r="S157" s="296"/>
      <c r="T157" s="266"/>
      <c r="U157" s="266"/>
      <c r="V157" s="296"/>
      <c r="W157" s="266"/>
      <c r="X157" s="266"/>
      <c r="Y157" s="296"/>
      <c r="Z157" s="266"/>
      <c r="AA157" s="296"/>
      <c r="AB157" s="296"/>
      <c r="AC157" s="266"/>
      <c r="AD157" s="266"/>
      <c r="AE157" s="296"/>
      <c r="AF157" s="266"/>
      <c r="AG157" s="266"/>
      <c r="AH157" s="296"/>
      <c r="AI157" s="266"/>
      <c r="AJ157" s="266"/>
      <c r="AK157" s="296"/>
      <c r="AL157" s="266"/>
      <c r="AM157" s="296"/>
      <c r="AN157" s="296"/>
      <c r="AO157" s="266"/>
      <c r="AP157" s="266"/>
      <c r="AQ157" s="296"/>
      <c r="AR157" s="266"/>
      <c r="AS157" s="266"/>
      <c r="AT157" s="296"/>
      <c r="AU157" s="266"/>
      <c r="AV157" s="266"/>
      <c r="AW157" s="296"/>
      <c r="AX157" s="266"/>
      <c r="AY157" s="296"/>
      <c r="AZ157" s="296"/>
      <c r="BA157" s="266"/>
      <c r="BB157" s="266"/>
      <c r="BC157" s="296"/>
      <c r="BD157" s="266"/>
      <c r="BE157" s="266"/>
      <c r="BF157" s="296"/>
      <c r="BG157" s="266"/>
      <c r="BH157" s="266"/>
      <c r="BI157" s="296"/>
      <c r="BJ157" s="266"/>
      <c r="BK157" s="296"/>
      <c r="BL157" s="451"/>
      <c r="BM157" s="266"/>
    </row>
    <row r="158" spans="1:65" s="39" customFormat="1" x14ac:dyDescent="0.2">
      <c r="A158" s="344" t="s">
        <v>555</v>
      </c>
      <c r="B158" s="365"/>
      <c r="C158" s="274">
        <f>ROUND(B158/12,0)</f>
        <v>0</v>
      </c>
      <c r="D158" s="365"/>
      <c r="E158" s="258" t="str">
        <f>IFERROR(ROUND((D158-C158)/C158,3),"0.0%")</f>
        <v>0.0%</v>
      </c>
      <c r="F158" s="306" t="str">
        <f>IFERROR(ROUND((D158-C158)/C158,3),"0.0%")</f>
        <v>0.0%</v>
      </c>
      <c r="G158" s="365"/>
      <c r="H158" s="258" t="str">
        <f>IFERROR(ROUND((G158-C158)/C158,3),"0.0%")</f>
        <v>0.0%</v>
      </c>
      <c r="I158" s="306" t="str">
        <f>IFERROR(ROUND(((G158+D158)-(C158*2))/(C158*2),3),"0.0%")</f>
        <v>0.0%</v>
      </c>
      <c r="J158" s="365"/>
      <c r="K158" s="258" t="str">
        <f>IFERROR(ROUND((J158-C158)/C158,3),"0.0%")</f>
        <v>0.0%</v>
      </c>
      <c r="L158" s="259" t="str">
        <f>IFERROR(ROUND(((J158+G158+D158)-(C158*3))/(C158*3),3),"0.0%")</f>
        <v>0.0%</v>
      </c>
      <c r="M158" s="366">
        <f>ROUND(D158+G158+J158,0)</f>
        <v>0</v>
      </c>
      <c r="N158" s="258" t="str">
        <f>IFERROR(ROUND((M158-(C158*3))/(C158*3),3),"0.0%")</f>
        <v>0.0%</v>
      </c>
      <c r="O158" s="274" t="str">
        <f>IFERROR(ROUND(((M158)-(C158*3))/(C158*3),3),"0.0%")</f>
        <v>0.0%</v>
      </c>
      <c r="P158" s="365"/>
      <c r="Q158" s="258" t="str">
        <f>IFERROR(ROUND((P158-C158)/C158,3),"0.0%")</f>
        <v>0.0%</v>
      </c>
      <c r="R158" s="306" t="str">
        <f>IFERROR(ROUND(((P158+M158)-(C158*4))/(C158*4),3),"0.0%")</f>
        <v>0.0%</v>
      </c>
      <c r="S158" s="365"/>
      <c r="T158" s="258" t="str">
        <f>IFERROR(ROUND((S158-C158)/C158,3),"0.0%")</f>
        <v>0.0%</v>
      </c>
      <c r="U158" s="306" t="str">
        <f>IFERROR(ROUND(((S158+P158+M158)-(C158*5))/(C158*5),3),"0.0%")</f>
        <v>0.0%</v>
      </c>
      <c r="V158" s="365"/>
      <c r="W158" s="258" t="str">
        <f>IFERROR(ROUND((V158-C158)/C158,3),"0.0%")</f>
        <v>0.0%</v>
      </c>
      <c r="X158" s="259" t="str">
        <f>IFERROR(ROUND(((V158+S158+P158+M158)-(C158*6))/(C158*6),3),"0.0%")</f>
        <v>0.0%</v>
      </c>
      <c r="Y158" s="366">
        <f>ROUND(V158+S158+P158,0)</f>
        <v>0</v>
      </c>
      <c r="Z158" s="258" t="str">
        <f>IFERROR(ROUND((Y158-(C158*3))/(C158*3),3),"0.0%")</f>
        <v>0.0%</v>
      </c>
      <c r="AA158" s="274" t="str">
        <f>IFERROR(ROUND(((Y158+M158)-(C158*6))/(C158*6),3),"0.0%")</f>
        <v>0.0%</v>
      </c>
      <c r="AB158" s="365"/>
      <c r="AC158" s="258" t="str">
        <f t="shared" si="314"/>
        <v>0.0%</v>
      </c>
      <c r="AD158" s="306" t="str">
        <f t="shared" si="315"/>
        <v>0.0%</v>
      </c>
      <c r="AE158" s="365"/>
      <c r="AF158" s="258" t="str">
        <f t="shared" si="316"/>
        <v>0.0%</v>
      </c>
      <c r="AG158" s="306" t="str">
        <f t="shared" si="317"/>
        <v>0.0%</v>
      </c>
      <c r="AH158" s="365"/>
      <c r="AI158" s="258" t="str">
        <f t="shared" si="318"/>
        <v>0.0%</v>
      </c>
      <c r="AJ158" s="259" t="str">
        <f t="shared" si="319"/>
        <v>0.0%</v>
      </c>
      <c r="AK158" s="366">
        <f>ROUND(AH158+AE158+AB158,0)</f>
        <v>0</v>
      </c>
      <c r="AL158" s="258" t="str">
        <f t="shared" si="320"/>
        <v>0.0%</v>
      </c>
      <c r="AM158" s="274" t="str">
        <f t="shared" si="321"/>
        <v>0.0%</v>
      </c>
      <c r="AN158" s="365"/>
      <c r="AO158" s="258" t="str">
        <f t="shared" si="322"/>
        <v>0.0%</v>
      </c>
      <c r="AP158" s="306" t="str">
        <f t="shared" si="323"/>
        <v>0.0%</v>
      </c>
      <c r="AQ158" s="365"/>
      <c r="AR158" s="258" t="str">
        <f t="shared" si="324"/>
        <v>0.0%</v>
      </c>
      <c r="AS158" s="306" t="str">
        <f t="shared" si="325"/>
        <v>0.0%</v>
      </c>
      <c r="AT158" s="365"/>
      <c r="AU158" s="258" t="str">
        <f t="shared" si="326"/>
        <v>0.0%</v>
      </c>
      <c r="AV158" s="259" t="str">
        <f t="shared" si="327"/>
        <v>0.0%</v>
      </c>
      <c r="AW158" s="366">
        <f>ROUND(AT158+AQ158+AN158,0)</f>
        <v>0</v>
      </c>
      <c r="AX158" s="258" t="str">
        <f>IFERROR(ROUND((AW158-(C158*3))/(C158*3),3),"0.0%")</f>
        <v>0.0%</v>
      </c>
      <c r="AY158" s="274" t="str">
        <f>IFERROR(ROUND(((AW158+AK158+Y158+M158)-(C158*12))/(C158*12),3),"0.0%")</f>
        <v>0.0%</v>
      </c>
      <c r="AZ158" s="367">
        <f>ROUND(AW158+AK158+Y158+M158,0)</f>
        <v>0</v>
      </c>
      <c r="BA158" s="318" t="str">
        <f>N158</f>
        <v>0.0%</v>
      </c>
      <c r="BB158" s="319" t="str">
        <f>O158</f>
        <v>0.0%</v>
      </c>
      <c r="BC158" s="367">
        <f>ROUND(AW158+AK158+Y158+M158,0)</f>
        <v>0</v>
      </c>
      <c r="BD158" s="318" t="str">
        <f>Z158</f>
        <v>0.0%</v>
      </c>
      <c r="BE158" s="319" t="str">
        <f>AA158</f>
        <v>0.0%</v>
      </c>
      <c r="BF158" s="367">
        <f>ROUND(AW158+AK158+Y158+M158,0)</f>
        <v>0</v>
      </c>
      <c r="BG158" s="318" t="str">
        <f>AL158</f>
        <v>0.0%</v>
      </c>
      <c r="BH158" s="357" t="str">
        <f>AM158</f>
        <v>0.0%</v>
      </c>
      <c r="BI158" s="367">
        <f>ROUND(AW158+AK158+Y158+M158,0)</f>
        <v>0</v>
      </c>
      <c r="BJ158" s="318" t="str">
        <f>AX158</f>
        <v>0.0%</v>
      </c>
      <c r="BK158" s="368" t="str">
        <f>AY158</f>
        <v>0.0%</v>
      </c>
      <c r="BL158" s="366">
        <f t="shared" si="338"/>
        <v>0</v>
      </c>
      <c r="BM158" s="306" t="str">
        <f t="shared" si="339"/>
        <v>0.0%</v>
      </c>
    </row>
    <row r="159" spans="1:65" s="39" customFormat="1" ht="13.5" thickBot="1" x14ac:dyDescent="0.25">
      <c r="A159" s="349" t="s">
        <v>252</v>
      </c>
      <c r="B159" s="369"/>
      <c r="C159" s="364">
        <f>ROUND(B159/12,0)</f>
        <v>0</v>
      </c>
      <c r="D159" s="369"/>
      <c r="E159" s="352" t="str">
        <f>IFERROR(ROUND((D159-C159)/C159,3),"0.0%")</f>
        <v>0.0%</v>
      </c>
      <c r="F159" s="353" t="str">
        <f>IFERROR(ROUND((D159-C159)/C159,3),"0.0%")</f>
        <v>0.0%</v>
      </c>
      <c r="G159" s="369"/>
      <c r="H159" s="352" t="str">
        <f>IFERROR(ROUND((G159-C159)/C159,3),"0.0%")</f>
        <v>0.0%</v>
      </c>
      <c r="I159" s="353" t="str">
        <f>IFERROR(ROUND(((G159+D159)-(C159*2))/(C159*2),3),"0.0%")</f>
        <v>0.0%</v>
      </c>
      <c r="J159" s="369"/>
      <c r="K159" s="352" t="str">
        <f>IFERROR(ROUND((J159-C159)/C159,3),"0.0%")</f>
        <v>0.0%</v>
      </c>
      <c r="L159" s="354" t="str">
        <f>IFERROR(ROUND(((J159+G159+D159)-(C159*3))/(C159*3),3),"0.0%")</f>
        <v>0.0%</v>
      </c>
      <c r="M159" s="370">
        <f>ROUND(D159+G159+J159,0)</f>
        <v>0</v>
      </c>
      <c r="N159" s="352" t="str">
        <f>IFERROR(ROUND((M159-(C159*3))/(C159*3),3),"0.0%")</f>
        <v>0.0%</v>
      </c>
      <c r="O159" s="364" t="str">
        <f>IFERROR(ROUND(((M159)-(C159*3))/(C159*3),3),"0.0%")</f>
        <v>0.0%</v>
      </c>
      <c r="P159" s="369"/>
      <c r="Q159" s="352" t="str">
        <f>IFERROR(ROUND((P159-C159)/C159,3),"0.0%")</f>
        <v>0.0%</v>
      </c>
      <c r="R159" s="353" t="str">
        <f>IFERROR(ROUND(((P159+M159)-(C159*4))/(C159*4),3),"0.0%")</f>
        <v>0.0%</v>
      </c>
      <c r="S159" s="369"/>
      <c r="T159" s="352" t="str">
        <f>IFERROR(ROUND((S159-C159)/C159,3),"0.0%")</f>
        <v>0.0%</v>
      </c>
      <c r="U159" s="353" t="str">
        <f>IFERROR(ROUND(((S159+P159+M159)-(C159*5))/(C159*5),3),"0.0%")</f>
        <v>0.0%</v>
      </c>
      <c r="V159" s="369"/>
      <c r="W159" s="352" t="str">
        <f>IFERROR(ROUND((V159-C159)/C159,3),"0.0%")</f>
        <v>0.0%</v>
      </c>
      <c r="X159" s="354" t="str">
        <f>IFERROR(ROUND(((V159+S159+P159+M159)-(C159*6))/(C159*6),3),"0.0%")</f>
        <v>0.0%</v>
      </c>
      <c r="Y159" s="370">
        <f>ROUND(V159+S159+P159,0)</f>
        <v>0</v>
      </c>
      <c r="Z159" s="352" t="str">
        <f>IFERROR(ROUND((Y159-(C159*3))/(C159*3),3),"0.0%")</f>
        <v>0.0%</v>
      </c>
      <c r="AA159" s="364" t="str">
        <f>IFERROR(ROUND(((Y159+M159)-(C159*6))/(C159*6),3),"0.0%")</f>
        <v>0.0%</v>
      </c>
      <c r="AB159" s="369"/>
      <c r="AC159" s="352" t="str">
        <f t="shared" si="314"/>
        <v>0.0%</v>
      </c>
      <c r="AD159" s="353" t="str">
        <f t="shared" si="315"/>
        <v>0.0%</v>
      </c>
      <c r="AE159" s="369"/>
      <c r="AF159" s="352" t="str">
        <f>IFERROR(ROUND((AE159-C159)/C159,3),"0.0%")</f>
        <v>0.0%</v>
      </c>
      <c r="AG159" s="353" t="str">
        <f>IFERROR(ROUND(((AE159+AB159+Y159+M159)-(C159*8))/(C159*8),3),"0.0%")</f>
        <v>0.0%</v>
      </c>
      <c r="AH159" s="369"/>
      <c r="AI159" s="352" t="str">
        <f t="shared" si="318"/>
        <v>0.0%</v>
      </c>
      <c r="AJ159" s="354" t="str">
        <f t="shared" si="319"/>
        <v>0.0%</v>
      </c>
      <c r="AK159" s="370">
        <f>ROUND(AH159+AE159+AB159,0)</f>
        <v>0</v>
      </c>
      <c r="AL159" s="352" t="str">
        <f t="shared" si="320"/>
        <v>0.0%</v>
      </c>
      <c r="AM159" s="364" t="str">
        <f t="shared" si="321"/>
        <v>0.0%</v>
      </c>
      <c r="AN159" s="369"/>
      <c r="AO159" s="352" t="str">
        <f t="shared" si="322"/>
        <v>0.0%</v>
      </c>
      <c r="AP159" s="353" t="str">
        <f t="shared" si="323"/>
        <v>0.0%</v>
      </c>
      <c r="AQ159" s="369"/>
      <c r="AR159" s="352" t="str">
        <f t="shared" si="324"/>
        <v>0.0%</v>
      </c>
      <c r="AS159" s="353" t="str">
        <f t="shared" si="325"/>
        <v>0.0%</v>
      </c>
      <c r="AT159" s="369"/>
      <c r="AU159" s="352" t="str">
        <f t="shared" si="326"/>
        <v>0.0%</v>
      </c>
      <c r="AV159" s="354" t="str">
        <f t="shared" si="327"/>
        <v>0.0%</v>
      </c>
      <c r="AW159" s="370">
        <f>ROUND(AT159+AQ159+AN159,0)</f>
        <v>0</v>
      </c>
      <c r="AX159" s="352" t="str">
        <f>IFERROR(ROUND((AW159-(C159*3))/(C159*3),3),"0.0%")</f>
        <v>0.0%</v>
      </c>
      <c r="AY159" s="364" t="str">
        <f>IFERROR(ROUND(((AW159+AK159+Y159+M159)-(C159*12))/(C159*12),3),"0.0%")</f>
        <v>0.0%</v>
      </c>
      <c r="AZ159" s="371">
        <f>ROUND(AW159+AK159+Y159+M159,0)</f>
        <v>0</v>
      </c>
      <c r="BA159" s="358" t="str">
        <f>N159</f>
        <v>0.0%</v>
      </c>
      <c r="BB159" s="359" t="str">
        <f>O159</f>
        <v>0.0%</v>
      </c>
      <c r="BC159" s="371">
        <f>ROUND(AW159+AK159+Y159+M159,0)</f>
        <v>0</v>
      </c>
      <c r="BD159" s="358" t="str">
        <f>Z159</f>
        <v>0.0%</v>
      </c>
      <c r="BE159" s="359" t="str">
        <f>AA159</f>
        <v>0.0%</v>
      </c>
      <c r="BF159" s="371">
        <f>ROUND(AW159+AK159+Y159+M159,0)</f>
        <v>0</v>
      </c>
      <c r="BG159" s="358" t="str">
        <f>AL159</f>
        <v>0.0%</v>
      </c>
      <c r="BH159" s="360" t="str">
        <f>AM159</f>
        <v>0.0%</v>
      </c>
      <c r="BI159" s="371">
        <f>ROUND(AW159+AK159+Y159+M159,0)</f>
        <v>0</v>
      </c>
      <c r="BJ159" s="358" t="str">
        <f>AX159</f>
        <v>0.0%</v>
      </c>
      <c r="BK159" s="372" t="str">
        <f>AY159</f>
        <v>0.0%</v>
      </c>
      <c r="BL159" s="370">
        <f t="shared" si="338"/>
        <v>0</v>
      </c>
      <c r="BM159" s="353" t="str">
        <f t="shared" si="339"/>
        <v>0.0%</v>
      </c>
    </row>
    <row r="160" spans="1:65" ht="13.5" thickTop="1" x14ac:dyDescent="0.2"/>
  </sheetData>
  <mergeCells count="28">
    <mergeCell ref="AZ3:BB3"/>
    <mergeCell ref="BC3:BE3"/>
    <mergeCell ref="BF3:BH3"/>
    <mergeCell ref="BI3:BK3"/>
    <mergeCell ref="A1:C1"/>
    <mergeCell ref="M3:O3"/>
    <mergeCell ref="D3:F3"/>
    <mergeCell ref="G3:I3"/>
    <mergeCell ref="J3:L3"/>
    <mergeCell ref="AN3:AP3"/>
    <mergeCell ref="AQ3:AS3"/>
    <mergeCell ref="AT3:AV3"/>
    <mergeCell ref="AW3:AY3"/>
    <mergeCell ref="AT33:AV33"/>
    <mergeCell ref="A143:C143"/>
    <mergeCell ref="AB3:AD3"/>
    <mergeCell ref="AE3:AG3"/>
    <mergeCell ref="AH3:AJ3"/>
    <mergeCell ref="AK3:AM3"/>
    <mergeCell ref="P3:R3"/>
    <mergeCell ref="S3:U3"/>
    <mergeCell ref="V3:X3"/>
    <mergeCell ref="Y3:AA3"/>
    <mergeCell ref="A110:C110"/>
    <mergeCell ref="A99:C99"/>
    <mergeCell ref="A34:C34"/>
    <mergeCell ref="A5:C5"/>
    <mergeCell ref="A62:C62"/>
  </mergeCells>
  <printOptions horizontalCentered="1"/>
  <pageMargins left="0.5" right="0.5" top="0.5" bottom="0.5" header="0.3" footer="0.3"/>
  <pageSetup scale="88" orientation="landscape" r:id="rId1"/>
  <rowBreaks count="5" manualBreakCount="5">
    <brk id="33" max="64" man="1"/>
    <brk id="61" max="64" man="1"/>
    <brk id="98" max="64" man="1"/>
    <brk id="109" max="64" man="1"/>
    <brk id="142" max="64" man="1"/>
  </rowBreaks>
  <colBreaks count="5" manualBreakCount="5">
    <brk id="15" max="159" man="1"/>
    <brk id="27" max="159" man="1"/>
    <brk id="39" max="159" man="1"/>
    <brk id="51" max="159" man="1"/>
    <brk id="65" max="1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view="pageBreakPreview" zoomScale="90" zoomScaleNormal="100" zoomScaleSheetLayoutView="90" workbookViewId="0">
      <selection activeCell="E14" sqref="E14:E16"/>
    </sheetView>
  </sheetViews>
  <sheetFormatPr defaultColWidth="9.140625" defaultRowHeight="12.75" x14ac:dyDescent="0.2"/>
  <cols>
    <col min="1" max="1" width="29" style="27" customWidth="1"/>
    <col min="2" max="2" width="8.42578125" style="27" customWidth="1"/>
    <col min="3" max="3" width="9.85546875" style="27" customWidth="1"/>
    <col min="4" max="4" width="19.42578125" style="27" customWidth="1"/>
    <col min="5" max="5" width="13.28515625" style="27" customWidth="1"/>
    <col min="6" max="6" width="12.42578125" style="27" customWidth="1"/>
    <col min="7" max="7" width="11.85546875" style="27" customWidth="1"/>
    <col min="8" max="8" width="13" style="27" customWidth="1"/>
    <col min="9" max="9" width="12.7109375" style="27" customWidth="1"/>
    <col min="10" max="16384" width="9.140625" style="27"/>
  </cols>
  <sheetData>
    <row r="1" spans="1:10" x14ac:dyDescent="0.2">
      <c r="A1" s="504" t="s">
        <v>609</v>
      </c>
      <c r="B1" s="504"/>
      <c r="C1" s="504"/>
      <c r="D1" s="504"/>
      <c r="E1" s="504"/>
      <c r="F1" s="504"/>
      <c r="G1" s="504"/>
      <c r="H1" s="504"/>
      <c r="I1" s="504"/>
      <c r="J1" s="27">
        <v>8760</v>
      </c>
    </row>
    <row r="2" spans="1:10" x14ac:dyDescent="0.2">
      <c r="A2" s="520" t="s">
        <v>447</v>
      </c>
      <c r="B2" s="520"/>
      <c r="C2" s="520"/>
      <c r="D2" s="520"/>
      <c r="E2" s="520"/>
      <c r="F2" s="520"/>
      <c r="G2" s="520"/>
      <c r="H2" s="520"/>
      <c r="I2" s="520"/>
      <c r="J2" s="94">
        <v>0.1</v>
      </c>
    </row>
    <row r="3" spans="1:10" ht="13.5" x14ac:dyDescent="0.25">
      <c r="A3" s="520" t="s">
        <v>448</v>
      </c>
      <c r="B3" s="520"/>
      <c r="C3" s="520"/>
      <c r="D3" s="520"/>
      <c r="E3" s="520"/>
      <c r="F3" s="520"/>
      <c r="G3" s="520"/>
      <c r="H3" s="520"/>
      <c r="I3" s="520"/>
      <c r="J3" s="94"/>
    </row>
    <row r="4" spans="1:10" x14ac:dyDescent="0.2">
      <c r="B4" s="95"/>
      <c r="C4" s="45"/>
      <c r="D4" s="45"/>
      <c r="E4" s="45"/>
      <c r="F4" s="45"/>
      <c r="G4" s="45"/>
      <c r="H4" s="45"/>
      <c r="I4" s="45"/>
      <c r="J4" s="94">
        <v>0.15</v>
      </c>
    </row>
    <row r="5" spans="1:10" x14ac:dyDescent="0.2">
      <c r="A5" s="96" t="s">
        <v>449</v>
      </c>
      <c r="B5" s="38"/>
      <c r="C5" s="97" t="s">
        <v>450</v>
      </c>
      <c r="D5" s="96" t="s">
        <v>443</v>
      </c>
      <c r="E5" s="96" t="s">
        <v>451</v>
      </c>
      <c r="F5" s="96" t="s">
        <v>451</v>
      </c>
      <c r="G5" s="96" t="s">
        <v>451</v>
      </c>
      <c r="H5" s="96" t="s">
        <v>451</v>
      </c>
      <c r="I5" s="96" t="s">
        <v>451</v>
      </c>
      <c r="J5" s="94">
        <v>0.2</v>
      </c>
    </row>
    <row r="6" spans="1:10" x14ac:dyDescent="0.2">
      <c r="A6" s="98" t="s">
        <v>452</v>
      </c>
      <c r="B6" s="32"/>
      <c r="C6" s="99" t="s">
        <v>453</v>
      </c>
      <c r="D6" s="100" t="s">
        <v>520</v>
      </c>
      <c r="E6" s="101" t="s">
        <v>454</v>
      </c>
      <c r="F6" s="101" t="s">
        <v>455</v>
      </c>
      <c r="G6" s="101" t="s">
        <v>456</v>
      </c>
      <c r="H6" s="101" t="s">
        <v>457</v>
      </c>
      <c r="I6" s="101" t="s">
        <v>458</v>
      </c>
      <c r="J6" s="94">
        <v>0.25</v>
      </c>
    </row>
    <row r="7" spans="1:10" x14ac:dyDescent="0.2">
      <c r="A7" s="102"/>
      <c r="C7" s="103"/>
      <c r="D7" s="104"/>
      <c r="E7" s="105"/>
      <c r="F7" s="105"/>
      <c r="G7" s="105"/>
      <c r="H7" s="105"/>
      <c r="I7" s="105"/>
      <c r="J7" s="94"/>
    </row>
    <row r="8" spans="1:10" x14ac:dyDescent="0.2">
      <c r="A8" s="472" t="s">
        <v>597</v>
      </c>
      <c r="C8" s="106">
        <v>7.5</v>
      </c>
      <c r="D8" s="107">
        <f>ROUND(C8*$J$1,0)</f>
        <v>65700</v>
      </c>
      <c r="E8" s="107">
        <f t="shared" ref="E8:E31" si="0">ROUND(D8*(100%+$J$2),0)</f>
        <v>72270</v>
      </c>
      <c r="F8" s="107">
        <f t="shared" ref="F8:F31" si="1">ROUND(D8*(100%+$J$4),0)</f>
        <v>75555</v>
      </c>
      <c r="G8" s="107">
        <f t="shared" ref="G8:G31" si="2">ROUND(D8*(100%+$J$5),0)</f>
        <v>78840</v>
      </c>
      <c r="H8" s="107">
        <f t="shared" ref="H8:H31" si="3">ROUND(D8*(100%+$J$6),0)</f>
        <v>82125</v>
      </c>
      <c r="I8" s="107">
        <f t="shared" ref="I8:I31" si="4">ROUND(D8*(100%+$J$8),0)</f>
        <v>85410</v>
      </c>
      <c r="J8" s="94">
        <v>0.3</v>
      </c>
    </row>
    <row r="9" spans="1:10" x14ac:dyDescent="0.2">
      <c r="A9" s="472" t="s">
        <v>597</v>
      </c>
      <c r="C9" s="106">
        <v>7.75</v>
      </c>
      <c r="D9" s="107">
        <f t="shared" ref="D9:D31" si="5">ROUND(C9*$J$1,0)</f>
        <v>67890</v>
      </c>
      <c r="E9" s="107">
        <f t="shared" si="0"/>
        <v>74679</v>
      </c>
      <c r="F9" s="107">
        <f t="shared" si="1"/>
        <v>78074</v>
      </c>
      <c r="G9" s="107">
        <f t="shared" si="2"/>
        <v>81468</v>
      </c>
      <c r="H9" s="107">
        <f t="shared" si="3"/>
        <v>84863</v>
      </c>
      <c r="I9" s="107">
        <f t="shared" si="4"/>
        <v>88257</v>
      </c>
    </row>
    <row r="10" spans="1:10" x14ac:dyDescent="0.2">
      <c r="A10" s="472" t="s">
        <v>597</v>
      </c>
      <c r="C10" s="106">
        <v>8</v>
      </c>
      <c r="D10" s="107">
        <f t="shared" si="5"/>
        <v>70080</v>
      </c>
      <c r="E10" s="107">
        <f t="shared" si="0"/>
        <v>77088</v>
      </c>
      <c r="F10" s="107">
        <f t="shared" si="1"/>
        <v>80592</v>
      </c>
      <c r="G10" s="107">
        <f t="shared" si="2"/>
        <v>84096</v>
      </c>
      <c r="H10" s="107">
        <f t="shared" si="3"/>
        <v>87600</v>
      </c>
      <c r="I10" s="107">
        <f t="shared" si="4"/>
        <v>91104</v>
      </c>
    </row>
    <row r="11" spans="1:10" x14ac:dyDescent="0.2">
      <c r="A11" s="472" t="s">
        <v>597</v>
      </c>
      <c r="C11" s="106">
        <v>8.25</v>
      </c>
      <c r="D11" s="107">
        <f t="shared" si="5"/>
        <v>72270</v>
      </c>
      <c r="E11" s="107">
        <f t="shared" si="0"/>
        <v>79497</v>
      </c>
      <c r="F11" s="107">
        <f t="shared" si="1"/>
        <v>83111</v>
      </c>
      <c r="G11" s="107">
        <f t="shared" si="2"/>
        <v>86724</v>
      </c>
      <c r="H11" s="107">
        <f t="shared" si="3"/>
        <v>90338</v>
      </c>
      <c r="I11" s="107">
        <f t="shared" si="4"/>
        <v>93951</v>
      </c>
    </row>
    <row r="12" spans="1:10" x14ac:dyDescent="0.2">
      <c r="A12" s="472" t="s">
        <v>597</v>
      </c>
      <c r="C12" s="106">
        <v>8.5</v>
      </c>
      <c r="D12" s="107">
        <f t="shared" si="5"/>
        <v>74460</v>
      </c>
      <c r="E12" s="107">
        <f t="shared" si="0"/>
        <v>81906</v>
      </c>
      <c r="F12" s="107">
        <f t="shared" si="1"/>
        <v>85629</v>
      </c>
      <c r="G12" s="107">
        <f t="shared" si="2"/>
        <v>89352</v>
      </c>
      <c r="H12" s="107">
        <f t="shared" si="3"/>
        <v>93075</v>
      </c>
      <c r="I12" s="107">
        <f t="shared" si="4"/>
        <v>96798</v>
      </c>
    </row>
    <row r="13" spans="1:10" x14ac:dyDescent="0.2">
      <c r="A13" s="472" t="s">
        <v>597</v>
      </c>
      <c r="C13" s="106">
        <v>8.75</v>
      </c>
      <c r="D13" s="107">
        <f t="shared" si="5"/>
        <v>76650</v>
      </c>
      <c r="E13" s="107">
        <f t="shared" si="0"/>
        <v>84315</v>
      </c>
      <c r="F13" s="107">
        <f t="shared" si="1"/>
        <v>88148</v>
      </c>
      <c r="G13" s="107">
        <f t="shared" si="2"/>
        <v>91980</v>
      </c>
      <c r="H13" s="107">
        <f t="shared" si="3"/>
        <v>95813</v>
      </c>
      <c r="I13" s="107">
        <f t="shared" si="4"/>
        <v>99645</v>
      </c>
    </row>
    <row r="14" spans="1:10" x14ac:dyDescent="0.2">
      <c r="A14" s="472" t="s">
        <v>597</v>
      </c>
      <c r="C14" s="106">
        <v>9</v>
      </c>
      <c r="D14" s="107">
        <f t="shared" si="5"/>
        <v>78840</v>
      </c>
      <c r="E14" s="107">
        <f t="shared" si="0"/>
        <v>86724</v>
      </c>
      <c r="F14" s="107">
        <f t="shared" si="1"/>
        <v>90666</v>
      </c>
      <c r="G14" s="107">
        <f t="shared" si="2"/>
        <v>94608</v>
      </c>
      <c r="H14" s="107">
        <f t="shared" si="3"/>
        <v>98550</v>
      </c>
      <c r="I14" s="107">
        <f t="shared" si="4"/>
        <v>102492</v>
      </c>
    </row>
    <row r="15" spans="1:10" x14ac:dyDescent="0.2">
      <c r="A15" s="472" t="s">
        <v>597</v>
      </c>
      <c r="C15" s="106">
        <v>9.25</v>
      </c>
      <c r="D15" s="107">
        <f t="shared" si="5"/>
        <v>81030</v>
      </c>
      <c r="E15" s="107">
        <f t="shared" si="0"/>
        <v>89133</v>
      </c>
      <c r="F15" s="107">
        <f t="shared" si="1"/>
        <v>93185</v>
      </c>
      <c r="G15" s="107">
        <f t="shared" si="2"/>
        <v>97236</v>
      </c>
      <c r="H15" s="107">
        <f t="shared" si="3"/>
        <v>101288</v>
      </c>
      <c r="I15" s="107">
        <f t="shared" si="4"/>
        <v>105339</v>
      </c>
    </row>
    <row r="16" spans="1:10" x14ac:dyDescent="0.2">
      <c r="A16" s="472" t="s">
        <v>598</v>
      </c>
      <c r="C16" s="106">
        <v>9.5</v>
      </c>
      <c r="D16" s="107">
        <f t="shared" si="5"/>
        <v>83220</v>
      </c>
      <c r="E16" s="107">
        <f t="shared" si="0"/>
        <v>91542</v>
      </c>
      <c r="F16" s="107">
        <f t="shared" si="1"/>
        <v>95703</v>
      </c>
      <c r="G16" s="107">
        <f t="shared" si="2"/>
        <v>99864</v>
      </c>
      <c r="H16" s="107">
        <f t="shared" si="3"/>
        <v>104025</v>
      </c>
      <c r="I16" s="107">
        <f t="shared" si="4"/>
        <v>108186</v>
      </c>
    </row>
    <row r="17" spans="1:10" x14ac:dyDescent="0.2">
      <c r="A17" s="472" t="s">
        <v>598</v>
      </c>
      <c r="C17" s="106">
        <v>9.75</v>
      </c>
      <c r="D17" s="107">
        <f t="shared" si="5"/>
        <v>85410</v>
      </c>
      <c r="E17" s="107">
        <f t="shared" si="0"/>
        <v>93951</v>
      </c>
      <c r="F17" s="107">
        <f t="shared" si="1"/>
        <v>98222</v>
      </c>
      <c r="G17" s="107">
        <f t="shared" si="2"/>
        <v>102492</v>
      </c>
      <c r="H17" s="107">
        <f t="shared" si="3"/>
        <v>106763</v>
      </c>
      <c r="I17" s="107">
        <f t="shared" si="4"/>
        <v>111033</v>
      </c>
    </row>
    <row r="18" spans="1:10" x14ac:dyDescent="0.2">
      <c r="A18" s="472" t="s">
        <v>598</v>
      </c>
      <c r="C18" s="106">
        <v>10</v>
      </c>
      <c r="D18" s="107">
        <f t="shared" si="5"/>
        <v>87600</v>
      </c>
      <c r="E18" s="107">
        <f t="shared" si="0"/>
        <v>96360</v>
      </c>
      <c r="F18" s="107">
        <f t="shared" si="1"/>
        <v>100740</v>
      </c>
      <c r="G18" s="107">
        <f t="shared" si="2"/>
        <v>105120</v>
      </c>
      <c r="H18" s="107">
        <f t="shared" si="3"/>
        <v>109500</v>
      </c>
      <c r="I18" s="107">
        <f t="shared" si="4"/>
        <v>113880</v>
      </c>
    </row>
    <row r="19" spans="1:10" x14ac:dyDescent="0.2">
      <c r="A19" s="472" t="s">
        <v>598</v>
      </c>
      <c r="C19" s="106">
        <v>10.5</v>
      </c>
      <c r="D19" s="107">
        <f t="shared" si="5"/>
        <v>91980</v>
      </c>
      <c r="E19" s="107">
        <f t="shared" si="0"/>
        <v>101178</v>
      </c>
      <c r="F19" s="107">
        <f t="shared" si="1"/>
        <v>105777</v>
      </c>
      <c r="G19" s="107">
        <f t="shared" si="2"/>
        <v>110376</v>
      </c>
      <c r="H19" s="107">
        <f t="shared" si="3"/>
        <v>114975</v>
      </c>
      <c r="I19" s="107">
        <f t="shared" si="4"/>
        <v>119574</v>
      </c>
    </row>
    <row r="20" spans="1:10" x14ac:dyDescent="0.2">
      <c r="A20" s="472" t="s">
        <v>598</v>
      </c>
      <c r="C20" s="106">
        <v>10.75</v>
      </c>
      <c r="D20" s="107">
        <f t="shared" si="5"/>
        <v>94170</v>
      </c>
      <c r="E20" s="107">
        <f t="shared" si="0"/>
        <v>103587</v>
      </c>
      <c r="F20" s="107">
        <f t="shared" si="1"/>
        <v>108296</v>
      </c>
      <c r="G20" s="107">
        <f t="shared" si="2"/>
        <v>113004</v>
      </c>
      <c r="H20" s="107">
        <f t="shared" si="3"/>
        <v>117713</v>
      </c>
      <c r="I20" s="107">
        <f t="shared" si="4"/>
        <v>122421</v>
      </c>
    </row>
    <row r="21" spans="1:10" x14ac:dyDescent="0.2">
      <c r="A21" s="472" t="s">
        <v>598</v>
      </c>
      <c r="C21" s="106">
        <v>11</v>
      </c>
      <c r="D21" s="107">
        <f t="shared" si="5"/>
        <v>96360</v>
      </c>
      <c r="E21" s="107">
        <f t="shared" si="0"/>
        <v>105996</v>
      </c>
      <c r="F21" s="107">
        <f t="shared" si="1"/>
        <v>110814</v>
      </c>
      <c r="G21" s="107">
        <f t="shared" si="2"/>
        <v>115632</v>
      </c>
      <c r="H21" s="107">
        <f t="shared" si="3"/>
        <v>120450</v>
      </c>
      <c r="I21" s="107">
        <f t="shared" si="4"/>
        <v>125268</v>
      </c>
    </row>
    <row r="22" spans="1:10" x14ac:dyDescent="0.2">
      <c r="A22" s="472" t="s">
        <v>598</v>
      </c>
      <c r="C22" s="106">
        <v>11.5</v>
      </c>
      <c r="D22" s="107">
        <f t="shared" si="5"/>
        <v>100740</v>
      </c>
      <c r="E22" s="107">
        <f t="shared" si="0"/>
        <v>110814</v>
      </c>
      <c r="F22" s="107">
        <f t="shared" si="1"/>
        <v>115851</v>
      </c>
      <c r="G22" s="107">
        <f t="shared" si="2"/>
        <v>120888</v>
      </c>
      <c r="H22" s="107">
        <f t="shared" si="3"/>
        <v>125925</v>
      </c>
      <c r="I22" s="107">
        <f t="shared" si="4"/>
        <v>130962</v>
      </c>
      <c r="J22" s="27">
        <v>8760</v>
      </c>
    </row>
    <row r="23" spans="1:10" x14ac:dyDescent="0.2">
      <c r="A23" s="472" t="s">
        <v>598</v>
      </c>
      <c r="C23" s="106">
        <v>12</v>
      </c>
      <c r="D23" s="107">
        <f t="shared" si="5"/>
        <v>105120</v>
      </c>
      <c r="E23" s="107">
        <f t="shared" si="0"/>
        <v>115632</v>
      </c>
      <c r="F23" s="107">
        <f t="shared" si="1"/>
        <v>120888</v>
      </c>
      <c r="G23" s="107">
        <f t="shared" si="2"/>
        <v>126144</v>
      </c>
      <c r="H23" s="107">
        <f t="shared" si="3"/>
        <v>131400</v>
      </c>
      <c r="I23" s="107">
        <f t="shared" si="4"/>
        <v>136656</v>
      </c>
      <c r="J23" s="94">
        <v>0.1</v>
      </c>
    </row>
    <row r="24" spans="1:10" x14ac:dyDescent="0.2">
      <c r="A24" s="472" t="s">
        <v>599</v>
      </c>
      <c r="C24" s="106">
        <v>12.5</v>
      </c>
      <c r="D24" s="107">
        <f t="shared" si="5"/>
        <v>109500</v>
      </c>
      <c r="E24" s="107">
        <f t="shared" si="0"/>
        <v>120450</v>
      </c>
      <c r="F24" s="107">
        <f t="shared" si="1"/>
        <v>125925</v>
      </c>
      <c r="G24" s="107">
        <f t="shared" si="2"/>
        <v>131400</v>
      </c>
      <c r="H24" s="107">
        <f t="shared" si="3"/>
        <v>136875</v>
      </c>
      <c r="I24" s="107">
        <f t="shared" si="4"/>
        <v>142350</v>
      </c>
      <c r="J24" s="94"/>
    </row>
    <row r="25" spans="1:10" x14ac:dyDescent="0.2">
      <c r="A25" s="472" t="s">
        <v>599</v>
      </c>
      <c r="C25" s="106">
        <v>13</v>
      </c>
      <c r="D25" s="107">
        <f t="shared" si="5"/>
        <v>113880</v>
      </c>
      <c r="E25" s="107">
        <f t="shared" si="0"/>
        <v>125268</v>
      </c>
      <c r="F25" s="107">
        <f t="shared" si="1"/>
        <v>130962</v>
      </c>
      <c r="G25" s="107">
        <f t="shared" si="2"/>
        <v>136656</v>
      </c>
      <c r="H25" s="107">
        <f t="shared" si="3"/>
        <v>142350</v>
      </c>
      <c r="I25" s="107">
        <f t="shared" si="4"/>
        <v>148044</v>
      </c>
      <c r="J25" s="94">
        <v>0.15</v>
      </c>
    </row>
    <row r="26" spans="1:10" x14ac:dyDescent="0.2">
      <c r="A26" s="472" t="s">
        <v>599</v>
      </c>
      <c r="C26" s="106">
        <v>13.5</v>
      </c>
      <c r="D26" s="107">
        <f t="shared" si="5"/>
        <v>118260</v>
      </c>
      <c r="E26" s="107">
        <f t="shared" si="0"/>
        <v>130086</v>
      </c>
      <c r="F26" s="107">
        <f t="shared" si="1"/>
        <v>135999</v>
      </c>
      <c r="G26" s="107">
        <f t="shared" si="2"/>
        <v>141912</v>
      </c>
      <c r="H26" s="107">
        <f t="shared" si="3"/>
        <v>147825</v>
      </c>
      <c r="I26" s="107">
        <f t="shared" si="4"/>
        <v>153738</v>
      </c>
      <c r="J26" s="94">
        <v>0.2</v>
      </c>
    </row>
    <row r="27" spans="1:10" x14ac:dyDescent="0.2">
      <c r="A27" s="472" t="s">
        <v>599</v>
      </c>
      <c r="C27" s="106">
        <v>14</v>
      </c>
      <c r="D27" s="107">
        <f t="shared" si="5"/>
        <v>122640</v>
      </c>
      <c r="E27" s="107">
        <f t="shared" si="0"/>
        <v>134904</v>
      </c>
      <c r="F27" s="107">
        <f t="shared" si="1"/>
        <v>141036</v>
      </c>
      <c r="G27" s="107">
        <f t="shared" si="2"/>
        <v>147168</v>
      </c>
      <c r="H27" s="107">
        <f t="shared" si="3"/>
        <v>153300</v>
      </c>
      <c r="I27" s="107">
        <f t="shared" si="4"/>
        <v>159432</v>
      </c>
      <c r="J27" s="94">
        <v>0.25</v>
      </c>
    </row>
    <row r="28" spans="1:10" x14ac:dyDescent="0.2">
      <c r="A28" s="472" t="s">
        <v>599</v>
      </c>
      <c r="C28" s="106">
        <v>14.5</v>
      </c>
      <c r="D28" s="107">
        <f t="shared" si="5"/>
        <v>127020</v>
      </c>
      <c r="E28" s="107">
        <f t="shared" si="0"/>
        <v>139722</v>
      </c>
      <c r="F28" s="107">
        <f t="shared" si="1"/>
        <v>146073</v>
      </c>
      <c r="G28" s="107">
        <f t="shared" si="2"/>
        <v>152424</v>
      </c>
      <c r="H28" s="107">
        <f t="shared" si="3"/>
        <v>158775</v>
      </c>
      <c r="I28" s="107">
        <f t="shared" si="4"/>
        <v>165126</v>
      </c>
      <c r="J28" s="94"/>
    </row>
    <row r="29" spans="1:10" x14ac:dyDescent="0.2">
      <c r="A29" s="472" t="s">
        <v>599</v>
      </c>
      <c r="C29" s="106">
        <v>15</v>
      </c>
      <c r="D29" s="107">
        <f t="shared" si="5"/>
        <v>131400</v>
      </c>
      <c r="E29" s="107">
        <f t="shared" si="0"/>
        <v>144540</v>
      </c>
      <c r="F29" s="107">
        <f t="shared" si="1"/>
        <v>151110</v>
      </c>
      <c r="G29" s="107">
        <f t="shared" si="2"/>
        <v>157680</v>
      </c>
      <c r="H29" s="107">
        <f t="shared" si="3"/>
        <v>164250</v>
      </c>
      <c r="I29" s="107">
        <f t="shared" si="4"/>
        <v>170820</v>
      </c>
      <c r="J29" s="94">
        <v>0.3</v>
      </c>
    </row>
    <row r="30" spans="1:10" x14ac:dyDescent="0.2">
      <c r="A30" s="472" t="s">
        <v>599</v>
      </c>
      <c r="C30" s="106">
        <v>15.5</v>
      </c>
      <c r="D30" s="107">
        <f t="shared" si="5"/>
        <v>135780</v>
      </c>
      <c r="E30" s="107">
        <f t="shared" si="0"/>
        <v>149358</v>
      </c>
      <c r="F30" s="107">
        <f t="shared" si="1"/>
        <v>156147</v>
      </c>
      <c r="G30" s="107">
        <f t="shared" si="2"/>
        <v>162936</v>
      </c>
      <c r="H30" s="107">
        <f t="shared" si="3"/>
        <v>169725</v>
      </c>
      <c r="I30" s="107">
        <f t="shared" si="4"/>
        <v>176514</v>
      </c>
    </row>
    <row r="31" spans="1:10" x14ac:dyDescent="0.2">
      <c r="A31" s="472" t="s">
        <v>599</v>
      </c>
      <c r="C31" s="106">
        <v>16</v>
      </c>
      <c r="D31" s="107">
        <f t="shared" si="5"/>
        <v>140160</v>
      </c>
      <c r="E31" s="107">
        <f t="shared" si="0"/>
        <v>154176</v>
      </c>
      <c r="F31" s="107">
        <f t="shared" si="1"/>
        <v>161184</v>
      </c>
      <c r="G31" s="107">
        <f t="shared" si="2"/>
        <v>168192</v>
      </c>
      <c r="H31" s="107">
        <f t="shared" si="3"/>
        <v>175200</v>
      </c>
      <c r="I31" s="107">
        <f t="shared" si="4"/>
        <v>182208</v>
      </c>
    </row>
    <row r="32" spans="1:10" x14ac:dyDescent="0.2">
      <c r="A32" s="32"/>
      <c r="B32" s="110"/>
      <c r="C32" s="111"/>
      <c r="D32" s="111"/>
      <c r="E32" s="111"/>
      <c r="F32" s="111"/>
      <c r="G32" s="111"/>
      <c r="H32" s="111"/>
      <c r="I32" s="111"/>
    </row>
    <row r="33" spans="1:9" x14ac:dyDescent="0.2">
      <c r="B33" s="112"/>
      <c r="C33" s="45"/>
      <c r="D33" s="45"/>
      <c r="E33" s="45"/>
      <c r="F33" s="45"/>
      <c r="G33" s="45"/>
      <c r="H33" s="45"/>
      <c r="I33" s="45"/>
    </row>
    <row r="34" spans="1:9" x14ac:dyDescent="0.2">
      <c r="A34" s="520" t="s">
        <v>610</v>
      </c>
      <c r="B34" s="520"/>
      <c r="C34" s="520"/>
      <c r="D34" s="520"/>
      <c r="E34" s="520"/>
      <c r="F34" s="520"/>
      <c r="G34" s="520"/>
      <c r="H34" s="520"/>
      <c r="I34" s="520"/>
    </row>
    <row r="35" spans="1:9" x14ac:dyDescent="0.2">
      <c r="A35" s="520" t="s">
        <v>459</v>
      </c>
      <c r="B35" s="520"/>
      <c r="C35" s="520"/>
      <c r="D35" s="520"/>
      <c r="E35" s="520"/>
      <c r="F35" s="520"/>
      <c r="G35" s="520"/>
      <c r="H35" s="520"/>
      <c r="I35" s="520"/>
    </row>
    <row r="36" spans="1:9" ht="13.5" x14ac:dyDescent="0.25">
      <c r="A36" s="520" t="s">
        <v>460</v>
      </c>
      <c r="B36" s="520"/>
      <c r="C36" s="520"/>
      <c r="D36" s="520"/>
      <c r="E36" s="520"/>
      <c r="F36" s="520"/>
      <c r="G36" s="520"/>
      <c r="H36" s="520"/>
      <c r="I36" s="520"/>
    </row>
    <row r="37" spans="1:9" x14ac:dyDescent="0.2">
      <c r="B37" s="95"/>
      <c r="C37" s="95"/>
      <c r="D37" s="45"/>
      <c r="E37" s="45"/>
      <c r="F37" s="45"/>
      <c r="G37" s="45"/>
      <c r="H37" s="45"/>
      <c r="I37" s="45"/>
    </row>
    <row r="38" spans="1:9" x14ac:dyDescent="0.2">
      <c r="A38" s="96" t="s">
        <v>449</v>
      </c>
      <c r="B38" s="97" t="s">
        <v>122</v>
      </c>
      <c r="C38" s="97" t="s">
        <v>121</v>
      </c>
      <c r="D38" s="218" t="s">
        <v>601</v>
      </c>
      <c r="E38" s="96" t="s">
        <v>451</v>
      </c>
      <c r="F38" s="96" t="s">
        <v>451</v>
      </c>
      <c r="G38" s="96" t="s">
        <v>451</v>
      </c>
      <c r="H38" s="96" t="s">
        <v>451</v>
      </c>
      <c r="I38" s="96" t="s">
        <v>451</v>
      </c>
    </row>
    <row r="39" spans="1:9" x14ac:dyDescent="0.2">
      <c r="A39" s="98" t="s">
        <v>452</v>
      </c>
      <c r="B39" s="99" t="s">
        <v>453</v>
      </c>
      <c r="C39" s="99" t="s">
        <v>453</v>
      </c>
      <c r="D39" s="219" t="s">
        <v>521</v>
      </c>
      <c r="E39" s="101" t="s">
        <v>454</v>
      </c>
      <c r="F39" s="101" t="s">
        <v>455</v>
      </c>
      <c r="G39" s="101" t="s">
        <v>456</v>
      </c>
      <c r="H39" s="101" t="s">
        <v>457</v>
      </c>
      <c r="I39" s="101" t="s">
        <v>458</v>
      </c>
    </row>
    <row r="40" spans="1:9" x14ac:dyDescent="0.2">
      <c r="A40" s="102"/>
      <c r="B40" s="103"/>
      <c r="C40" s="103"/>
      <c r="D40" s="113"/>
      <c r="E40" s="105"/>
      <c r="F40" s="105"/>
      <c r="G40" s="105"/>
      <c r="H40" s="105"/>
      <c r="I40" s="105"/>
    </row>
    <row r="41" spans="1:9" x14ac:dyDescent="0.2">
      <c r="A41" s="472" t="s">
        <v>608</v>
      </c>
      <c r="B41" s="106">
        <v>7.5</v>
      </c>
      <c r="C41" s="106">
        <v>8.5</v>
      </c>
      <c r="D41" s="107">
        <f t="shared" ref="D41:D64" si="6">ROUND((B41*$J$1)+(C41*$J$1),0)</f>
        <v>140160</v>
      </c>
      <c r="E41" s="107">
        <f t="shared" ref="E41:E64" si="7">ROUND(D41*(100%+$J$2),0)</f>
        <v>154176</v>
      </c>
      <c r="F41" s="107">
        <f t="shared" ref="F41:F64" si="8">ROUND(D41*(100%+$J$4),0)</f>
        <v>161184</v>
      </c>
      <c r="G41" s="107">
        <f t="shared" ref="G41:G64" si="9">ROUND(D41*(100%+$J$5),0)</f>
        <v>168192</v>
      </c>
      <c r="H41" s="107">
        <f t="shared" ref="H41:H64" si="10">ROUND(D41*(100%+$J$6),0)</f>
        <v>175200</v>
      </c>
      <c r="I41" s="107">
        <f t="shared" ref="I41:I64" si="11">ROUND(D41*(100%+$J$8),0)</f>
        <v>182208</v>
      </c>
    </row>
    <row r="42" spans="1:9" x14ac:dyDescent="0.2">
      <c r="A42" s="472" t="s">
        <v>608</v>
      </c>
      <c r="B42" s="106">
        <v>7.5</v>
      </c>
      <c r="C42" s="106">
        <v>9</v>
      </c>
      <c r="D42" s="107">
        <f t="shared" si="6"/>
        <v>144540</v>
      </c>
      <c r="E42" s="107">
        <f t="shared" si="7"/>
        <v>158994</v>
      </c>
      <c r="F42" s="107">
        <f t="shared" si="8"/>
        <v>166221</v>
      </c>
      <c r="G42" s="107">
        <f t="shared" si="9"/>
        <v>173448</v>
      </c>
      <c r="H42" s="107">
        <f t="shared" si="10"/>
        <v>180675</v>
      </c>
      <c r="I42" s="107">
        <f t="shared" si="11"/>
        <v>187902</v>
      </c>
    </row>
    <row r="43" spans="1:9" x14ac:dyDescent="0.2">
      <c r="A43" s="472" t="s">
        <v>608</v>
      </c>
      <c r="B43" s="106">
        <v>8</v>
      </c>
      <c r="C43" s="106">
        <v>9</v>
      </c>
      <c r="D43" s="107">
        <f t="shared" si="6"/>
        <v>148920</v>
      </c>
      <c r="E43" s="107">
        <f t="shared" si="7"/>
        <v>163812</v>
      </c>
      <c r="F43" s="107">
        <f t="shared" si="8"/>
        <v>171258</v>
      </c>
      <c r="G43" s="107">
        <f t="shared" si="9"/>
        <v>178704</v>
      </c>
      <c r="H43" s="107">
        <f t="shared" si="10"/>
        <v>186150</v>
      </c>
      <c r="I43" s="107">
        <f t="shared" si="11"/>
        <v>193596</v>
      </c>
    </row>
    <row r="44" spans="1:9" x14ac:dyDescent="0.2">
      <c r="A44" s="472" t="s">
        <v>608</v>
      </c>
      <c r="B44" s="106">
        <v>8.5</v>
      </c>
      <c r="C44" s="106">
        <v>8.5</v>
      </c>
      <c r="D44" s="107">
        <f t="shared" si="6"/>
        <v>148920</v>
      </c>
      <c r="E44" s="107">
        <f t="shared" si="7"/>
        <v>163812</v>
      </c>
      <c r="F44" s="107">
        <f t="shared" si="8"/>
        <v>171258</v>
      </c>
      <c r="G44" s="107">
        <f t="shared" si="9"/>
        <v>178704</v>
      </c>
      <c r="H44" s="107">
        <f t="shared" si="10"/>
        <v>186150</v>
      </c>
      <c r="I44" s="107">
        <f t="shared" si="11"/>
        <v>193596</v>
      </c>
    </row>
    <row r="45" spans="1:9" x14ac:dyDescent="0.2">
      <c r="A45" s="472" t="s">
        <v>608</v>
      </c>
      <c r="B45" s="106">
        <v>8.5</v>
      </c>
      <c r="C45" s="106">
        <v>9</v>
      </c>
      <c r="D45" s="107">
        <f t="shared" si="6"/>
        <v>153300</v>
      </c>
      <c r="E45" s="107">
        <f t="shared" si="7"/>
        <v>168630</v>
      </c>
      <c r="F45" s="107">
        <f t="shared" si="8"/>
        <v>176295</v>
      </c>
      <c r="G45" s="107">
        <f t="shared" si="9"/>
        <v>183960</v>
      </c>
      <c r="H45" s="107">
        <f t="shared" si="10"/>
        <v>191625</v>
      </c>
      <c r="I45" s="107">
        <f t="shared" si="11"/>
        <v>199290</v>
      </c>
    </row>
    <row r="46" spans="1:9" x14ac:dyDescent="0.2">
      <c r="A46" s="472" t="s">
        <v>608</v>
      </c>
      <c r="B46" s="106">
        <v>8.75</v>
      </c>
      <c r="C46" s="106">
        <v>9</v>
      </c>
      <c r="D46" s="107">
        <f t="shared" si="6"/>
        <v>155490</v>
      </c>
      <c r="E46" s="107">
        <f t="shared" si="7"/>
        <v>171039</v>
      </c>
      <c r="F46" s="107">
        <f t="shared" si="8"/>
        <v>178814</v>
      </c>
      <c r="G46" s="107">
        <f t="shared" si="9"/>
        <v>186588</v>
      </c>
      <c r="H46" s="107">
        <f t="shared" si="10"/>
        <v>194363</v>
      </c>
      <c r="I46" s="107">
        <f t="shared" si="11"/>
        <v>202137</v>
      </c>
    </row>
    <row r="47" spans="1:9" x14ac:dyDescent="0.2">
      <c r="A47" s="472" t="s">
        <v>608</v>
      </c>
      <c r="B47" s="106">
        <v>9</v>
      </c>
      <c r="C47" s="106">
        <v>9.25</v>
      </c>
      <c r="D47" s="107">
        <f t="shared" si="6"/>
        <v>159870</v>
      </c>
      <c r="E47" s="107">
        <f t="shared" si="7"/>
        <v>175857</v>
      </c>
      <c r="F47" s="107">
        <f t="shared" si="8"/>
        <v>183851</v>
      </c>
      <c r="G47" s="107">
        <f t="shared" si="9"/>
        <v>191844</v>
      </c>
      <c r="H47" s="107">
        <f t="shared" si="10"/>
        <v>199838</v>
      </c>
      <c r="I47" s="107">
        <f t="shared" si="11"/>
        <v>207831</v>
      </c>
    </row>
    <row r="48" spans="1:9" x14ac:dyDescent="0.2">
      <c r="A48" s="472" t="s">
        <v>608</v>
      </c>
      <c r="B48" s="106">
        <v>8.5</v>
      </c>
      <c r="C48" s="106">
        <v>10</v>
      </c>
      <c r="D48" s="107">
        <f t="shared" si="6"/>
        <v>162060</v>
      </c>
      <c r="E48" s="107">
        <f t="shared" si="7"/>
        <v>178266</v>
      </c>
      <c r="F48" s="107">
        <f t="shared" si="8"/>
        <v>186369</v>
      </c>
      <c r="G48" s="107">
        <f t="shared" si="9"/>
        <v>194472</v>
      </c>
      <c r="H48" s="107">
        <f t="shared" si="10"/>
        <v>202575</v>
      </c>
      <c r="I48" s="107">
        <f t="shared" si="11"/>
        <v>210678</v>
      </c>
    </row>
    <row r="49" spans="1:9" x14ac:dyDescent="0.2">
      <c r="A49" s="472" t="s">
        <v>607</v>
      </c>
      <c r="B49" s="106">
        <v>8.5</v>
      </c>
      <c r="C49" s="106">
        <v>11</v>
      </c>
      <c r="D49" s="107">
        <f t="shared" si="6"/>
        <v>170820</v>
      </c>
      <c r="E49" s="107">
        <f t="shared" si="7"/>
        <v>187902</v>
      </c>
      <c r="F49" s="107">
        <f t="shared" si="8"/>
        <v>196443</v>
      </c>
      <c r="G49" s="107">
        <f t="shared" si="9"/>
        <v>204984</v>
      </c>
      <c r="H49" s="107">
        <f t="shared" si="10"/>
        <v>213525</v>
      </c>
      <c r="I49" s="107">
        <f t="shared" si="11"/>
        <v>222066</v>
      </c>
    </row>
    <row r="50" spans="1:9" x14ac:dyDescent="0.2">
      <c r="A50" s="472" t="s">
        <v>607</v>
      </c>
      <c r="B50" s="106">
        <v>8.75</v>
      </c>
      <c r="C50" s="106">
        <v>12</v>
      </c>
      <c r="D50" s="107">
        <f t="shared" si="6"/>
        <v>181770</v>
      </c>
      <c r="E50" s="107">
        <f t="shared" si="7"/>
        <v>199947</v>
      </c>
      <c r="F50" s="107">
        <f t="shared" si="8"/>
        <v>209036</v>
      </c>
      <c r="G50" s="107">
        <f t="shared" si="9"/>
        <v>218124</v>
      </c>
      <c r="H50" s="107">
        <f t="shared" si="10"/>
        <v>227213</v>
      </c>
      <c r="I50" s="107">
        <f t="shared" si="11"/>
        <v>236301</v>
      </c>
    </row>
    <row r="51" spans="1:9" x14ac:dyDescent="0.2">
      <c r="A51" s="472" t="s">
        <v>607</v>
      </c>
      <c r="B51" s="106">
        <v>8.75</v>
      </c>
      <c r="C51" s="106">
        <v>13</v>
      </c>
      <c r="D51" s="107">
        <f t="shared" si="6"/>
        <v>190530</v>
      </c>
      <c r="E51" s="107">
        <f t="shared" si="7"/>
        <v>209583</v>
      </c>
      <c r="F51" s="107">
        <f t="shared" si="8"/>
        <v>219110</v>
      </c>
      <c r="G51" s="107">
        <f t="shared" si="9"/>
        <v>228636</v>
      </c>
      <c r="H51" s="107">
        <f t="shared" si="10"/>
        <v>238163</v>
      </c>
      <c r="I51" s="107">
        <f t="shared" si="11"/>
        <v>247689</v>
      </c>
    </row>
    <row r="52" spans="1:9" x14ac:dyDescent="0.2">
      <c r="A52" s="472" t="s">
        <v>607</v>
      </c>
      <c r="B52" s="106">
        <v>9</v>
      </c>
      <c r="C52" s="106">
        <v>14</v>
      </c>
      <c r="D52" s="107">
        <f t="shared" si="6"/>
        <v>201480</v>
      </c>
      <c r="E52" s="107">
        <f t="shared" si="7"/>
        <v>221628</v>
      </c>
      <c r="F52" s="107">
        <f t="shared" si="8"/>
        <v>231702</v>
      </c>
      <c r="G52" s="107">
        <f t="shared" si="9"/>
        <v>241776</v>
      </c>
      <c r="H52" s="107">
        <f t="shared" si="10"/>
        <v>251850</v>
      </c>
      <c r="I52" s="107">
        <f t="shared" si="11"/>
        <v>261924</v>
      </c>
    </row>
    <row r="53" spans="1:9" x14ac:dyDescent="0.2">
      <c r="A53" s="472" t="s">
        <v>607</v>
      </c>
      <c r="B53" s="106">
        <v>9.5</v>
      </c>
      <c r="C53" s="106">
        <v>15</v>
      </c>
      <c r="D53" s="107">
        <f t="shared" si="6"/>
        <v>214620</v>
      </c>
      <c r="E53" s="107">
        <f t="shared" si="7"/>
        <v>236082</v>
      </c>
      <c r="F53" s="107">
        <f t="shared" si="8"/>
        <v>246813</v>
      </c>
      <c r="G53" s="107">
        <f t="shared" si="9"/>
        <v>257544</v>
      </c>
      <c r="H53" s="107">
        <f t="shared" si="10"/>
        <v>268275</v>
      </c>
      <c r="I53" s="107">
        <f t="shared" si="11"/>
        <v>279006</v>
      </c>
    </row>
    <row r="54" spans="1:9" x14ac:dyDescent="0.2">
      <c r="A54" s="472" t="s">
        <v>607</v>
      </c>
      <c r="B54" s="106">
        <v>10</v>
      </c>
      <c r="C54" s="106">
        <v>15</v>
      </c>
      <c r="D54" s="107">
        <f t="shared" si="6"/>
        <v>219000</v>
      </c>
      <c r="E54" s="107">
        <f t="shared" si="7"/>
        <v>240900</v>
      </c>
      <c r="F54" s="107">
        <f t="shared" si="8"/>
        <v>251850</v>
      </c>
      <c r="G54" s="107">
        <f t="shared" si="9"/>
        <v>262800</v>
      </c>
      <c r="H54" s="107">
        <f t="shared" si="10"/>
        <v>273750</v>
      </c>
      <c r="I54" s="107">
        <f t="shared" si="11"/>
        <v>284700</v>
      </c>
    </row>
    <row r="55" spans="1:9" x14ac:dyDescent="0.2">
      <c r="A55" s="472" t="s">
        <v>607</v>
      </c>
      <c r="B55" s="106">
        <v>11</v>
      </c>
      <c r="C55" s="106">
        <v>16</v>
      </c>
      <c r="D55" s="107">
        <f t="shared" si="6"/>
        <v>236520</v>
      </c>
      <c r="E55" s="107">
        <f t="shared" si="7"/>
        <v>260172</v>
      </c>
      <c r="F55" s="107">
        <f t="shared" si="8"/>
        <v>271998</v>
      </c>
      <c r="G55" s="107">
        <f t="shared" si="9"/>
        <v>283824</v>
      </c>
      <c r="H55" s="107">
        <f t="shared" si="10"/>
        <v>295650</v>
      </c>
      <c r="I55" s="107">
        <f t="shared" si="11"/>
        <v>307476</v>
      </c>
    </row>
    <row r="56" spans="1:9" x14ac:dyDescent="0.2">
      <c r="A56" s="472" t="s">
        <v>607</v>
      </c>
      <c r="B56" s="106">
        <v>8.5</v>
      </c>
      <c r="C56" s="106">
        <v>10.5</v>
      </c>
      <c r="D56" s="107">
        <f t="shared" si="6"/>
        <v>166440</v>
      </c>
      <c r="E56" s="107">
        <f t="shared" si="7"/>
        <v>183084</v>
      </c>
      <c r="F56" s="107">
        <f t="shared" si="8"/>
        <v>191406</v>
      </c>
      <c r="G56" s="107">
        <f t="shared" si="9"/>
        <v>199728</v>
      </c>
      <c r="H56" s="107">
        <f t="shared" si="10"/>
        <v>208050</v>
      </c>
      <c r="I56" s="107">
        <f t="shared" si="11"/>
        <v>216372</v>
      </c>
    </row>
    <row r="57" spans="1:9" x14ac:dyDescent="0.2">
      <c r="A57" s="472" t="s">
        <v>600</v>
      </c>
      <c r="B57" s="106">
        <v>8.5</v>
      </c>
      <c r="C57" s="106">
        <v>11</v>
      </c>
      <c r="D57" s="107">
        <f t="shared" si="6"/>
        <v>170820</v>
      </c>
      <c r="E57" s="107">
        <f t="shared" si="7"/>
        <v>187902</v>
      </c>
      <c r="F57" s="107">
        <f t="shared" si="8"/>
        <v>196443</v>
      </c>
      <c r="G57" s="107">
        <f t="shared" si="9"/>
        <v>204984</v>
      </c>
      <c r="H57" s="107">
        <f t="shared" si="10"/>
        <v>213525</v>
      </c>
      <c r="I57" s="107">
        <f t="shared" si="11"/>
        <v>222066</v>
      </c>
    </row>
    <row r="58" spans="1:9" x14ac:dyDescent="0.2">
      <c r="A58" s="472" t="s">
        <v>600</v>
      </c>
      <c r="B58" s="106">
        <v>9</v>
      </c>
      <c r="C58" s="106">
        <v>11</v>
      </c>
      <c r="D58" s="107">
        <f t="shared" si="6"/>
        <v>175200</v>
      </c>
      <c r="E58" s="107">
        <f t="shared" si="7"/>
        <v>192720</v>
      </c>
      <c r="F58" s="107">
        <f t="shared" si="8"/>
        <v>201480</v>
      </c>
      <c r="G58" s="107">
        <f t="shared" si="9"/>
        <v>210240</v>
      </c>
      <c r="H58" s="107">
        <f t="shared" si="10"/>
        <v>219000</v>
      </c>
      <c r="I58" s="107">
        <f t="shared" si="11"/>
        <v>227760</v>
      </c>
    </row>
    <row r="59" spans="1:9" x14ac:dyDescent="0.2">
      <c r="A59" s="472" t="s">
        <v>600</v>
      </c>
      <c r="B59" s="106">
        <v>9.5</v>
      </c>
      <c r="C59" s="106">
        <v>12</v>
      </c>
      <c r="D59" s="107">
        <f t="shared" si="6"/>
        <v>188340</v>
      </c>
      <c r="E59" s="107">
        <f t="shared" si="7"/>
        <v>207174</v>
      </c>
      <c r="F59" s="107">
        <f t="shared" si="8"/>
        <v>216591</v>
      </c>
      <c r="G59" s="107">
        <f t="shared" si="9"/>
        <v>226008</v>
      </c>
      <c r="H59" s="107">
        <f t="shared" si="10"/>
        <v>235425</v>
      </c>
      <c r="I59" s="107">
        <f t="shared" si="11"/>
        <v>244842</v>
      </c>
    </row>
    <row r="60" spans="1:9" x14ac:dyDescent="0.2">
      <c r="A60" s="472" t="s">
        <v>600</v>
      </c>
      <c r="B60" s="106">
        <v>9.75</v>
      </c>
      <c r="C60" s="106">
        <v>13</v>
      </c>
      <c r="D60" s="107">
        <f t="shared" si="6"/>
        <v>199290</v>
      </c>
      <c r="E60" s="107">
        <f t="shared" si="7"/>
        <v>219219</v>
      </c>
      <c r="F60" s="107">
        <f t="shared" si="8"/>
        <v>229184</v>
      </c>
      <c r="G60" s="107">
        <f t="shared" si="9"/>
        <v>239148</v>
      </c>
      <c r="H60" s="107">
        <f t="shared" si="10"/>
        <v>249113</v>
      </c>
      <c r="I60" s="107">
        <f t="shared" si="11"/>
        <v>259077</v>
      </c>
    </row>
    <row r="61" spans="1:9" x14ac:dyDescent="0.2">
      <c r="A61" s="472" t="s">
        <v>600</v>
      </c>
      <c r="B61" s="106">
        <v>10</v>
      </c>
      <c r="C61" s="106">
        <v>14</v>
      </c>
      <c r="D61" s="107">
        <f t="shared" si="6"/>
        <v>210240</v>
      </c>
      <c r="E61" s="107">
        <f t="shared" si="7"/>
        <v>231264</v>
      </c>
      <c r="F61" s="107">
        <f t="shared" si="8"/>
        <v>241776</v>
      </c>
      <c r="G61" s="107">
        <f t="shared" si="9"/>
        <v>252288</v>
      </c>
      <c r="H61" s="107">
        <f t="shared" si="10"/>
        <v>262800</v>
      </c>
      <c r="I61" s="107">
        <f t="shared" si="11"/>
        <v>273312</v>
      </c>
    </row>
    <row r="62" spans="1:9" x14ac:dyDescent="0.2">
      <c r="A62" s="472" t="s">
        <v>600</v>
      </c>
      <c r="B62" s="106">
        <v>10.5</v>
      </c>
      <c r="C62" s="106">
        <v>15</v>
      </c>
      <c r="D62" s="107">
        <f t="shared" si="6"/>
        <v>223380</v>
      </c>
      <c r="E62" s="107">
        <f t="shared" si="7"/>
        <v>245718</v>
      </c>
      <c r="F62" s="107">
        <f t="shared" si="8"/>
        <v>256887</v>
      </c>
      <c r="G62" s="107">
        <f t="shared" si="9"/>
        <v>268056</v>
      </c>
      <c r="H62" s="107">
        <f t="shared" si="10"/>
        <v>279225</v>
      </c>
      <c r="I62" s="107">
        <f t="shared" si="11"/>
        <v>290394</v>
      </c>
    </row>
    <row r="63" spans="1:9" x14ac:dyDescent="0.2">
      <c r="A63" s="472" t="s">
        <v>600</v>
      </c>
      <c r="B63" s="106">
        <v>11</v>
      </c>
      <c r="C63" s="106">
        <v>16</v>
      </c>
      <c r="D63" s="107">
        <f t="shared" si="6"/>
        <v>236520</v>
      </c>
      <c r="E63" s="107">
        <f t="shared" si="7"/>
        <v>260172</v>
      </c>
      <c r="F63" s="107">
        <f t="shared" si="8"/>
        <v>271998</v>
      </c>
      <c r="G63" s="107">
        <f t="shared" si="9"/>
        <v>283824</v>
      </c>
      <c r="H63" s="107">
        <f t="shared" si="10"/>
        <v>295650</v>
      </c>
      <c r="I63" s="107">
        <f t="shared" si="11"/>
        <v>307476</v>
      </c>
    </row>
    <row r="64" spans="1:9" x14ac:dyDescent="0.2">
      <c r="A64" s="472" t="s">
        <v>600</v>
      </c>
      <c r="B64" s="106">
        <v>12</v>
      </c>
      <c r="C64" s="106">
        <v>17</v>
      </c>
      <c r="D64" s="107">
        <f t="shared" si="6"/>
        <v>254040</v>
      </c>
      <c r="E64" s="107">
        <f t="shared" si="7"/>
        <v>279444</v>
      </c>
      <c r="F64" s="107">
        <f t="shared" si="8"/>
        <v>292146</v>
      </c>
      <c r="G64" s="107">
        <f t="shared" si="9"/>
        <v>304848</v>
      </c>
      <c r="H64" s="107">
        <f t="shared" si="10"/>
        <v>317550</v>
      </c>
      <c r="I64" s="107">
        <f t="shared" si="11"/>
        <v>330252</v>
      </c>
    </row>
    <row r="65" spans="1:9" x14ac:dyDescent="0.2">
      <c r="A65" s="32"/>
      <c r="B65" s="108"/>
      <c r="C65" s="108"/>
      <c r="D65" s="109"/>
      <c r="E65" s="109"/>
      <c r="F65" s="109"/>
      <c r="G65" s="109"/>
      <c r="H65" s="109"/>
      <c r="I65" s="109"/>
    </row>
    <row r="66" spans="1:9" x14ac:dyDescent="0.2">
      <c r="B66" s="106"/>
      <c r="C66" s="106"/>
      <c r="D66" s="107"/>
      <c r="E66" s="107"/>
      <c r="F66" s="107"/>
      <c r="G66" s="107"/>
      <c r="H66" s="107"/>
      <c r="I66" s="107"/>
    </row>
    <row r="136" spans="1:9" x14ac:dyDescent="0.2">
      <c r="B136" s="106"/>
      <c r="C136" s="106"/>
      <c r="D136" s="107"/>
      <c r="E136" s="107"/>
      <c r="F136" s="107"/>
      <c r="G136" s="107"/>
      <c r="H136" s="107"/>
      <c r="I136" s="107"/>
    </row>
    <row r="137" spans="1:9" x14ac:dyDescent="0.2">
      <c r="B137" s="106"/>
      <c r="C137" s="106"/>
      <c r="D137" s="107"/>
      <c r="E137" s="107"/>
      <c r="F137" s="107"/>
      <c r="G137" s="107"/>
      <c r="H137" s="107"/>
      <c r="I137" s="107"/>
    </row>
    <row r="138" spans="1:9" x14ac:dyDescent="0.2">
      <c r="A138" s="32"/>
      <c r="B138" s="110"/>
      <c r="C138" s="110"/>
      <c r="D138" s="111"/>
      <c r="E138" s="111"/>
      <c r="F138" s="111"/>
      <c r="G138" s="111"/>
      <c r="H138" s="111"/>
      <c r="I138" s="111"/>
    </row>
    <row r="139" spans="1:9" x14ac:dyDescent="0.2">
      <c r="B139" s="95"/>
      <c r="C139" s="45"/>
      <c r="D139" s="45"/>
      <c r="E139" s="45"/>
      <c r="F139" s="45"/>
      <c r="G139" s="45"/>
      <c r="H139" s="45"/>
      <c r="I139" s="45"/>
    </row>
    <row r="140" spans="1:9" x14ac:dyDescent="0.2">
      <c r="B140" s="95" t="s">
        <v>461</v>
      </c>
      <c r="C140" s="45"/>
      <c r="D140" s="95" t="s">
        <v>462</v>
      </c>
      <c r="E140" s="95" t="s">
        <v>463</v>
      </c>
      <c r="F140" s="95" t="s">
        <v>464</v>
      </c>
      <c r="G140" s="45"/>
      <c r="H140" s="95" t="s">
        <v>465</v>
      </c>
      <c r="I140" s="45"/>
    </row>
    <row r="141" spans="1:9" x14ac:dyDescent="0.2">
      <c r="B141" s="114" t="s">
        <v>466</v>
      </c>
      <c r="C141" s="45"/>
      <c r="D141" s="114" t="s">
        <v>467</v>
      </c>
      <c r="E141" s="45"/>
      <c r="F141" s="45"/>
      <c r="G141" s="45"/>
      <c r="H141" s="45"/>
      <c r="I141" s="45"/>
    </row>
    <row r="142" spans="1:9" x14ac:dyDescent="0.2">
      <c r="B142" s="114" t="s">
        <v>468</v>
      </c>
      <c r="C142" s="45"/>
      <c r="D142" s="45"/>
      <c r="E142" s="45"/>
      <c r="F142" s="45"/>
      <c r="G142" s="45"/>
      <c r="H142" s="45"/>
      <c r="I142" s="45"/>
    </row>
    <row r="143" spans="1:9" x14ac:dyDescent="0.2">
      <c r="B143" s="114" t="s">
        <v>469</v>
      </c>
      <c r="C143" s="45"/>
      <c r="D143" s="45"/>
      <c r="E143" s="45"/>
      <c r="F143" s="45"/>
      <c r="G143" s="45"/>
      <c r="H143" s="45"/>
      <c r="I143" s="45"/>
    </row>
    <row r="144" spans="1:9" x14ac:dyDescent="0.2">
      <c r="B144" s="114" t="s">
        <v>470</v>
      </c>
      <c r="C144" s="45"/>
      <c r="D144" s="45"/>
      <c r="E144" s="45"/>
      <c r="F144" s="45"/>
      <c r="G144" s="45"/>
      <c r="H144" s="45"/>
      <c r="I144" s="45"/>
    </row>
    <row r="145" spans="2:9" x14ac:dyDescent="0.2">
      <c r="B145" s="95"/>
      <c r="C145" s="45"/>
      <c r="D145" s="45"/>
      <c r="E145" s="45"/>
      <c r="F145" s="45"/>
      <c r="G145" s="45"/>
      <c r="H145" s="45"/>
      <c r="I145" s="45"/>
    </row>
    <row r="146" spans="2:9" x14ac:dyDescent="0.2">
      <c r="B146" s="95"/>
      <c r="C146" s="45"/>
      <c r="D146" s="45"/>
      <c r="E146" s="45"/>
      <c r="F146" s="45"/>
      <c r="G146" s="45"/>
      <c r="H146" s="45"/>
      <c r="I146" s="45"/>
    </row>
    <row r="147" spans="2:9" x14ac:dyDescent="0.2">
      <c r="B147" s="95" t="s">
        <v>471</v>
      </c>
      <c r="C147" s="45"/>
      <c r="D147" s="45"/>
      <c r="E147" s="45"/>
      <c r="F147" s="45"/>
      <c r="G147" s="45"/>
      <c r="H147" s="45"/>
      <c r="I147" s="45"/>
    </row>
    <row r="148" spans="2:9" x14ac:dyDescent="0.2">
      <c r="B148" s="95" t="s">
        <v>472</v>
      </c>
      <c r="C148" s="45"/>
      <c r="D148" s="45"/>
      <c r="E148" s="45"/>
      <c r="F148" s="45"/>
      <c r="G148" s="45"/>
      <c r="H148" s="45"/>
      <c r="I148" s="45"/>
    </row>
    <row r="149" spans="2:9" x14ac:dyDescent="0.2">
      <c r="B149" s="95" t="s">
        <v>473</v>
      </c>
      <c r="C149" s="45"/>
      <c r="D149" s="45"/>
      <c r="E149" s="45"/>
      <c r="F149" s="45"/>
      <c r="G149" s="45"/>
      <c r="H149" s="45"/>
      <c r="I149" s="45"/>
    </row>
    <row r="150" spans="2:9" x14ac:dyDescent="0.2">
      <c r="B150" s="114" t="s">
        <v>466</v>
      </c>
      <c r="C150" s="45"/>
      <c r="D150" s="114" t="s">
        <v>474</v>
      </c>
      <c r="E150" s="45"/>
      <c r="F150" s="45"/>
      <c r="G150" s="45"/>
      <c r="H150" s="45"/>
      <c r="I150" s="45"/>
    </row>
    <row r="151" spans="2:9" x14ac:dyDescent="0.2">
      <c r="B151" s="114" t="s">
        <v>475</v>
      </c>
      <c r="C151" s="45"/>
      <c r="D151" s="45"/>
      <c r="E151" s="45"/>
      <c r="F151" s="45"/>
      <c r="G151" s="45"/>
      <c r="H151" s="45"/>
      <c r="I151" s="45"/>
    </row>
    <row r="152" spans="2:9" x14ac:dyDescent="0.2">
      <c r="B152" s="114" t="s">
        <v>476</v>
      </c>
      <c r="C152" s="45"/>
      <c r="D152" s="45"/>
      <c r="E152" s="45"/>
      <c r="F152" s="45"/>
      <c r="G152" s="45"/>
      <c r="H152" s="45"/>
      <c r="I152" s="45"/>
    </row>
    <row r="153" spans="2:9" x14ac:dyDescent="0.2">
      <c r="B153" s="114" t="s">
        <v>477</v>
      </c>
      <c r="C153" s="45"/>
      <c r="D153" s="45"/>
      <c r="E153" s="45"/>
      <c r="F153" s="45"/>
      <c r="G153" s="45"/>
      <c r="H153" s="45"/>
      <c r="I153" s="45"/>
    </row>
    <row r="154" spans="2:9" x14ac:dyDescent="0.2">
      <c r="B154" s="45"/>
      <c r="C154" s="45"/>
      <c r="D154" s="45"/>
      <c r="E154" s="45"/>
      <c r="F154" s="45"/>
      <c r="G154" s="45"/>
      <c r="H154" s="45"/>
      <c r="I154" s="45"/>
    </row>
    <row r="155" spans="2:9" x14ac:dyDescent="0.2">
      <c r="B155" s="45"/>
      <c r="C155" s="45"/>
      <c r="D155" s="45"/>
      <c r="E155" s="45"/>
      <c r="F155" s="45"/>
      <c r="G155" s="45"/>
      <c r="H155" s="45"/>
      <c r="I155" s="45"/>
    </row>
  </sheetData>
  <sheetProtection sheet="1" objects="1" scenarios="1"/>
  <mergeCells count="6">
    <mergeCell ref="A36:I36"/>
    <mergeCell ref="A34:I34"/>
    <mergeCell ref="A35:I35"/>
    <mergeCell ref="A1:I1"/>
    <mergeCell ref="A2:I2"/>
    <mergeCell ref="A3:I3"/>
  </mergeCells>
  <printOptions horizontalCentered="1"/>
  <pageMargins left="0.4" right="0.4" top="0.4" bottom="0.4" header="0.3" footer="0.3"/>
  <pageSetup orientation="landscape" r:id="rId1"/>
  <rowBreaks count="1" manualBreakCount="1">
    <brk id="3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zoomScaleNormal="100" zoomScaleSheetLayoutView="100" workbookViewId="0">
      <selection activeCell="D22" sqref="D22"/>
    </sheetView>
  </sheetViews>
  <sheetFormatPr defaultColWidth="9.140625" defaultRowHeight="12.75" x14ac:dyDescent="0.2"/>
  <cols>
    <col min="1" max="1" width="28.140625" style="27" customWidth="1"/>
    <col min="2" max="2" width="7.5703125" style="27" customWidth="1"/>
    <col min="3" max="3" width="9.85546875" style="27" customWidth="1"/>
    <col min="4" max="4" width="22.28515625" style="27" customWidth="1"/>
    <col min="5" max="5" width="12.42578125" style="27" customWidth="1"/>
    <col min="6" max="6" width="11.85546875" style="27" customWidth="1"/>
    <col min="7" max="7" width="12.42578125" style="27" customWidth="1"/>
    <col min="8" max="8" width="12.140625" style="27" customWidth="1"/>
    <col min="9" max="9" width="12.28515625" style="27" customWidth="1"/>
    <col min="10" max="16384" width="9.140625" style="27"/>
  </cols>
  <sheetData>
    <row r="1" spans="1:10" x14ac:dyDescent="0.2">
      <c r="A1" s="504" t="s">
        <v>478</v>
      </c>
      <c r="B1" s="504"/>
      <c r="C1" s="504"/>
      <c r="D1" s="504"/>
      <c r="E1" s="504"/>
      <c r="F1" s="504"/>
      <c r="G1" s="504"/>
      <c r="H1" s="504"/>
      <c r="I1" s="504"/>
      <c r="J1" s="27">
        <v>2080</v>
      </c>
    </row>
    <row r="2" spans="1:10" x14ac:dyDescent="0.2">
      <c r="A2" s="520" t="s">
        <v>447</v>
      </c>
      <c r="B2" s="520"/>
      <c r="C2" s="520"/>
      <c r="D2" s="520"/>
      <c r="E2" s="520"/>
      <c r="F2" s="520"/>
      <c r="G2" s="520"/>
      <c r="H2" s="520"/>
      <c r="I2" s="520"/>
      <c r="J2" s="94">
        <v>0.1</v>
      </c>
    </row>
    <row r="3" spans="1:10" ht="13.5" x14ac:dyDescent="0.25">
      <c r="A3" s="520" t="s">
        <v>602</v>
      </c>
      <c r="B3" s="520"/>
      <c r="C3" s="520"/>
      <c r="D3" s="520"/>
      <c r="E3" s="520"/>
      <c r="F3" s="520"/>
      <c r="G3" s="520"/>
      <c r="H3" s="520"/>
      <c r="I3" s="520"/>
      <c r="J3" s="94"/>
    </row>
    <row r="4" spans="1:10" x14ac:dyDescent="0.2">
      <c r="B4" s="95"/>
      <c r="C4" s="45"/>
      <c r="D4" s="45"/>
      <c r="E4" s="45"/>
      <c r="F4" s="45"/>
      <c r="G4" s="45"/>
      <c r="H4" s="45"/>
      <c r="I4" s="45"/>
      <c r="J4" s="94">
        <v>0.15</v>
      </c>
    </row>
    <row r="5" spans="1:10" x14ac:dyDescent="0.2">
      <c r="A5" s="96" t="s">
        <v>449</v>
      </c>
      <c r="B5" s="38"/>
      <c r="C5" s="97" t="s">
        <v>450</v>
      </c>
      <c r="D5" s="96" t="s">
        <v>443</v>
      </c>
      <c r="E5" s="96" t="s">
        <v>451</v>
      </c>
      <c r="F5" s="96" t="s">
        <v>451</v>
      </c>
      <c r="G5" s="96" t="s">
        <v>451</v>
      </c>
      <c r="H5" s="96" t="s">
        <v>451</v>
      </c>
      <c r="I5" s="96" t="s">
        <v>451</v>
      </c>
      <c r="J5" s="94">
        <v>0.2</v>
      </c>
    </row>
    <row r="6" spans="1:10" x14ac:dyDescent="0.2">
      <c r="A6" s="98" t="s">
        <v>452</v>
      </c>
      <c r="B6" s="32"/>
      <c r="C6" s="99" t="s">
        <v>453</v>
      </c>
      <c r="D6" s="219" t="s">
        <v>479</v>
      </c>
      <c r="E6" s="101" t="s">
        <v>454</v>
      </c>
      <c r="F6" s="101" t="s">
        <v>455</v>
      </c>
      <c r="G6" s="101" t="s">
        <v>456</v>
      </c>
      <c r="H6" s="101" t="s">
        <v>457</v>
      </c>
      <c r="I6" s="101" t="s">
        <v>458</v>
      </c>
      <c r="J6" s="94">
        <v>0.25</v>
      </c>
    </row>
    <row r="7" spans="1:10" x14ac:dyDescent="0.2">
      <c r="A7" s="102"/>
      <c r="C7" s="103"/>
      <c r="D7" s="104"/>
      <c r="E7" s="105"/>
      <c r="F7" s="105"/>
      <c r="G7" s="105"/>
      <c r="H7" s="105"/>
      <c r="I7" s="105"/>
      <c r="J7" s="94"/>
    </row>
    <row r="8" spans="1:10" x14ac:dyDescent="0.2">
      <c r="A8" s="472" t="s">
        <v>597</v>
      </c>
      <c r="C8" s="106">
        <v>7.5</v>
      </c>
      <c r="D8" s="107">
        <f>ROUND(C8*$J$1,0)</f>
        <v>15600</v>
      </c>
      <c r="E8" s="107">
        <f>ROUND(D8*(100%+$J$2),0)</f>
        <v>17160</v>
      </c>
      <c r="F8" s="107">
        <f>ROUND(D8*(100%+$J$4),0)</f>
        <v>17940</v>
      </c>
      <c r="G8" s="107">
        <f>ROUND(D8*(100%+$J$5),0)</f>
        <v>18720</v>
      </c>
      <c r="H8" s="107">
        <f>ROUND(D8*(100%+$J$6),0)</f>
        <v>19500</v>
      </c>
      <c r="I8" s="107">
        <f>ROUND(D8*(100%+$J$8),0)</f>
        <v>20280</v>
      </c>
      <c r="J8" s="94">
        <v>0.3</v>
      </c>
    </row>
    <row r="9" spans="1:10" x14ac:dyDescent="0.2">
      <c r="A9" s="472" t="s">
        <v>597</v>
      </c>
      <c r="C9" s="106">
        <v>7.75</v>
      </c>
      <c r="D9" s="107">
        <f t="shared" ref="D9:D31" si="0">ROUND(C9*$J$1,0)</f>
        <v>16120</v>
      </c>
      <c r="E9" s="107">
        <f t="shared" ref="E9:E31" si="1">ROUND(D9*(100%+$J$2),0)</f>
        <v>17732</v>
      </c>
      <c r="F9" s="107">
        <f t="shared" ref="F9:F31" si="2">ROUND(D9*(100%+$J$4),0)</f>
        <v>18538</v>
      </c>
      <c r="G9" s="107">
        <f t="shared" ref="G9:G31" si="3">ROUND(D9*(100%+$J$5),0)</f>
        <v>19344</v>
      </c>
      <c r="H9" s="107">
        <f t="shared" ref="H9:H31" si="4">ROUND(D9*(100%+$J$6),0)</f>
        <v>20150</v>
      </c>
      <c r="I9" s="107">
        <f t="shared" ref="I9:I23" si="5">ROUND(D9*(100%+$J$8),0)</f>
        <v>20956</v>
      </c>
    </row>
    <row r="10" spans="1:10" x14ac:dyDescent="0.2">
      <c r="A10" s="472" t="s">
        <v>597</v>
      </c>
      <c r="C10" s="106">
        <v>8</v>
      </c>
      <c r="D10" s="107">
        <f t="shared" si="0"/>
        <v>16640</v>
      </c>
      <c r="E10" s="107">
        <f t="shared" si="1"/>
        <v>18304</v>
      </c>
      <c r="F10" s="107">
        <f t="shared" si="2"/>
        <v>19136</v>
      </c>
      <c r="G10" s="107">
        <f t="shared" si="3"/>
        <v>19968</v>
      </c>
      <c r="H10" s="107">
        <f t="shared" si="4"/>
        <v>20800</v>
      </c>
      <c r="I10" s="107">
        <f t="shared" si="5"/>
        <v>21632</v>
      </c>
    </row>
    <row r="11" spans="1:10" x14ac:dyDescent="0.2">
      <c r="A11" s="472" t="s">
        <v>597</v>
      </c>
      <c r="C11" s="106">
        <v>8.5</v>
      </c>
      <c r="D11" s="107">
        <f>ROUND(C11*$J$1,0)</f>
        <v>17680</v>
      </c>
      <c r="E11" s="107">
        <f t="shared" si="1"/>
        <v>19448</v>
      </c>
      <c r="F11" s="107">
        <f t="shared" si="2"/>
        <v>20332</v>
      </c>
      <c r="G11" s="107">
        <f t="shared" si="3"/>
        <v>21216</v>
      </c>
      <c r="H11" s="107">
        <f t="shared" si="4"/>
        <v>22100</v>
      </c>
      <c r="I11" s="107">
        <f t="shared" si="5"/>
        <v>22984</v>
      </c>
    </row>
    <row r="12" spans="1:10" x14ac:dyDescent="0.2">
      <c r="A12" s="472" t="s">
        <v>597</v>
      </c>
      <c r="C12" s="106">
        <v>8.75</v>
      </c>
      <c r="D12" s="107">
        <f t="shared" si="0"/>
        <v>18200</v>
      </c>
      <c r="E12" s="107">
        <f t="shared" si="1"/>
        <v>20020</v>
      </c>
      <c r="F12" s="107">
        <f t="shared" si="2"/>
        <v>20930</v>
      </c>
      <c r="G12" s="107">
        <f t="shared" si="3"/>
        <v>21840</v>
      </c>
      <c r="H12" s="107">
        <f t="shared" si="4"/>
        <v>22750</v>
      </c>
      <c r="I12" s="107">
        <f t="shared" si="5"/>
        <v>23660</v>
      </c>
    </row>
    <row r="13" spans="1:10" x14ac:dyDescent="0.2">
      <c r="A13" s="472" t="s">
        <v>597</v>
      </c>
      <c r="C13" s="106">
        <v>9</v>
      </c>
      <c r="D13" s="107">
        <f t="shared" si="0"/>
        <v>18720</v>
      </c>
      <c r="E13" s="107">
        <f t="shared" si="1"/>
        <v>20592</v>
      </c>
      <c r="F13" s="107">
        <f t="shared" si="2"/>
        <v>21528</v>
      </c>
      <c r="G13" s="107">
        <f t="shared" si="3"/>
        <v>22464</v>
      </c>
      <c r="H13" s="107">
        <f t="shared" si="4"/>
        <v>23400</v>
      </c>
      <c r="I13" s="107">
        <f t="shared" si="5"/>
        <v>24336</v>
      </c>
    </row>
    <row r="14" spans="1:10" x14ac:dyDescent="0.2">
      <c r="A14" s="472" t="s">
        <v>597</v>
      </c>
      <c r="C14" s="106">
        <v>9.5</v>
      </c>
      <c r="D14" s="107">
        <f t="shared" si="0"/>
        <v>19760</v>
      </c>
      <c r="E14" s="107">
        <f t="shared" si="1"/>
        <v>21736</v>
      </c>
      <c r="F14" s="107">
        <f t="shared" si="2"/>
        <v>22724</v>
      </c>
      <c r="G14" s="107">
        <f t="shared" si="3"/>
        <v>23712</v>
      </c>
      <c r="H14" s="107">
        <f t="shared" si="4"/>
        <v>24700</v>
      </c>
      <c r="I14" s="107">
        <f t="shared" si="5"/>
        <v>25688</v>
      </c>
    </row>
    <row r="15" spans="1:10" x14ac:dyDescent="0.2">
      <c r="A15" s="472" t="s">
        <v>597</v>
      </c>
      <c r="C15" s="106">
        <v>9.75</v>
      </c>
      <c r="D15" s="107">
        <f t="shared" si="0"/>
        <v>20280</v>
      </c>
      <c r="E15" s="107">
        <f t="shared" si="1"/>
        <v>22308</v>
      </c>
      <c r="F15" s="107">
        <f t="shared" si="2"/>
        <v>23322</v>
      </c>
      <c r="G15" s="107">
        <f t="shared" si="3"/>
        <v>24336</v>
      </c>
      <c r="H15" s="107">
        <f t="shared" si="4"/>
        <v>25350</v>
      </c>
      <c r="I15" s="107">
        <f t="shared" si="5"/>
        <v>26364</v>
      </c>
    </row>
    <row r="16" spans="1:10" x14ac:dyDescent="0.2">
      <c r="A16" s="472" t="s">
        <v>598</v>
      </c>
      <c r="C16" s="106">
        <v>10</v>
      </c>
      <c r="D16" s="107">
        <f t="shared" si="0"/>
        <v>20800</v>
      </c>
      <c r="E16" s="107">
        <f t="shared" si="1"/>
        <v>22880</v>
      </c>
      <c r="F16" s="107">
        <f t="shared" si="2"/>
        <v>23920</v>
      </c>
      <c r="G16" s="107">
        <f t="shared" si="3"/>
        <v>24960</v>
      </c>
      <c r="H16" s="107">
        <f t="shared" si="4"/>
        <v>26000</v>
      </c>
      <c r="I16" s="107">
        <f t="shared" si="5"/>
        <v>27040</v>
      </c>
    </row>
    <row r="17" spans="1:9" x14ac:dyDescent="0.2">
      <c r="A17" s="472" t="s">
        <v>598</v>
      </c>
      <c r="C17" s="106">
        <v>10.5</v>
      </c>
      <c r="D17" s="107">
        <f t="shared" si="0"/>
        <v>21840</v>
      </c>
      <c r="E17" s="107">
        <f t="shared" si="1"/>
        <v>24024</v>
      </c>
      <c r="F17" s="107">
        <f t="shared" si="2"/>
        <v>25116</v>
      </c>
      <c r="G17" s="107">
        <f t="shared" si="3"/>
        <v>26208</v>
      </c>
      <c r="H17" s="107">
        <f t="shared" si="4"/>
        <v>27300</v>
      </c>
      <c r="I17" s="107">
        <f t="shared" si="5"/>
        <v>28392</v>
      </c>
    </row>
    <row r="18" spans="1:9" x14ac:dyDescent="0.2">
      <c r="A18" s="472" t="s">
        <v>598</v>
      </c>
      <c r="C18" s="106">
        <v>10.75</v>
      </c>
      <c r="D18" s="107">
        <f t="shared" si="0"/>
        <v>22360</v>
      </c>
      <c r="E18" s="107">
        <f t="shared" si="1"/>
        <v>24596</v>
      </c>
      <c r="F18" s="107">
        <f t="shared" si="2"/>
        <v>25714</v>
      </c>
      <c r="G18" s="107">
        <f t="shared" si="3"/>
        <v>26832</v>
      </c>
      <c r="H18" s="107">
        <f t="shared" si="4"/>
        <v>27950</v>
      </c>
      <c r="I18" s="107">
        <f t="shared" si="5"/>
        <v>29068</v>
      </c>
    </row>
    <row r="19" spans="1:9" x14ac:dyDescent="0.2">
      <c r="A19" s="472" t="s">
        <v>598</v>
      </c>
      <c r="C19" s="106">
        <v>11</v>
      </c>
      <c r="D19" s="107">
        <f t="shared" si="0"/>
        <v>22880</v>
      </c>
      <c r="E19" s="107">
        <f t="shared" si="1"/>
        <v>25168</v>
      </c>
      <c r="F19" s="107">
        <f t="shared" si="2"/>
        <v>26312</v>
      </c>
      <c r="G19" s="107">
        <f t="shared" si="3"/>
        <v>27456</v>
      </c>
      <c r="H19" s="107">
        <f t="shared" si="4"/>
        <v>28600</v>
      </c>
      <c r="I19" s="107">
        <f t="shared" si="5"/>
        <v>29744</v>
      </c>
    </row>
    <row r="20" spans="1:9" x14ac:dyDescent="0.2">
      <c r="A20" s="472" t="s">
        <v>598</v>
      </c>
      <c r="C20" s="106">
        <v>11.5</v>
      </c>
      <c r="D20" s="107">
        <f t="shared" si="0"/>
        <v>23920</v>
      </c>
      <c r="E20" s="107">
        <f t="shared" si="1"/>
        <v>26312</v>
      </c>
      <c r="F20" s="107">
        <f t="shared" si="2"/>
        <v>27508</v>
      </c>
      <c r="G20" s="107">
        <f t="shared" si="3"/>
        <v>28704</v>
      </c>
      <c r="H20" s="107">
        <f t="shared" si="4"/>
        <v>29900</v>
      </c>
      <c r="I20" s="107">
        <f t="shared" si="5"/>
        <v>31096</v>
      </c>
    </row>
    <row r="21" spans="1:9" x14ac:dyDescent="0.2">
      <c r="A21" s="472" t="s">
        <v>598</v>
      </c>
      <c r="C21" s="106">
        <v>12</v>
      </c>
      <c r="D21" s="107">
        <f t="shared" si="0"/>
        <v>24960</v>
      </c>
      <c r="E21" s="107">
        <f t="shared" si="1"/>
        <v>27456</v>
      </c>
      <c r="F21" s="107">
        <f t="shared" si="2"/>
        <v>28704</v>
      </c>
      <c r="G21" s="107">
        <f t="shared" si="3"/>
        <v>29952</v>
      </c>
      <c r="H21" s="107">
        <f t="shared" si="4"/>
        <v>31200</v>
      </c>
      <c r="I21" s="107">
        <f t="shared" si="5"/>
        <v>32448</v>
      </c>
    </row>
    <row r="22" spans="1:9" x14ac:dyDescent="0.2">
      <c r="A22" s="472" t="s">
        <v>598</v>
      </c>
      <c r="C22" s="106">
        <v>12.5</v>
      </c>
      <c r="D22" s="107">
        <f t="shared" si="0"/>
        <v>26000</v>
      </c>
      <c r="E22" s="107">
        <f t="shared" si="1"/>
        <v>28600</v>
      </c>
      <c r="F22" s="107">
        <f t="shared" si="2"/>
        <v>29900</v>
      </c>
      <c r="G22" s="107">
        <f t="shared" si="3"/>
        <v>31200</v>
      </c>
      <c r="H22" s="107">
        <f t="shared" si="4"/>
        <v>32500</v>
      </c>
      <c r="I22" s="107">
        <f t="shared" si="5"/>
        <v>33800</v>
      </c>
    </row>
    <row r="23" spans="1:9" x14ac:dyDescent="0.2">
      <c r="A23" s="472" t="s">
        <v>598</v>
      </c>
      <c r="C23" s="106">
        <v>13</v>
      </c>
      <c r="D23" s="107">
        <f t="shared" si="0"/>
        <v>27040</v>
      </c>
      <c r="E23" s="107">
        <f t="shared" si="1"/>
        <v>29744</v>
      </c>
      <c r="F23" s="107">
        <f t="shared" si="2"/>
        <v>31096</v>
      </c>
      <c r="G23" s="107">
        <f t="shared" si="3"/>
        <v>32448</v>
      </c>
      <c r="H23" s="107">
        <f t="shared" si="4"/>
        <v>33800</v>
      </c>
      <c r="I23" s="107">
        <f t="shared" si="5"/>
        <v>35152</v>
      </c>
    </row>
    <row r="24" spans="1:9" x14ac:dyDescent="0.2">
      <c r="A24" s="472" t="s">
        <v>599</v>
      </c>
      <c r="C24" s="106">
        <v>14</v>
      </c>
      <c r="D24" s="107">
        <f t="shared" si="0"/>
        <v>29120</v>
      </c>
      <c r="E24" s="107">
        <f t="shared" si="1"/>
        <v>32032</v>
      </c>
      <c r="F24" s="107">
        <f t="shared" si="2"/>
        <v>33488</v>
      </c>
      <c r="G24" s="107">
        <f t="shared" si="3"/>
        <v>34944</v>
      </c>
      <c r="H24" s="107">
        <f t="shared" si="4"/>
        <v>36400</v>
      </c>
      <c r="I24" s="107">
        <f t="shared" ref="I24:I31" si="6">ROUND(D24*(100%+$J$8),0)</f>
        <v>37856</v>
      </c>
    </row>
    <row r="25" spans="1:9" x14ac:dyDescent="0.2">
      <c r="A25" s="472" t="s">
        <v>599</v>
      </c>
      <c r="C25" s="106">
        <v>15</v>
      </c>
      <c r="D25" s="107">
        <f t="shared" si="0"/>
        <v>31200</v>
      </c>
      <c r="E25" s="107">
        <f t="shared" si="1"/>
        <v>34320</v>
      </c>
      <c r="F25" s="107">
        <f t="shared" si="2"/>
        <v>35880</v>
      </c>
      <c r="G25" s="107">
        <f t="shared" si="3"/>
        <v>37440</v>
      </c>
      <c r="H25" s="107">
        <f t="shared" si="4"/>
        <v>39000</v>
      </c>
      <c r="I25" s="107">
        <f t="shared" si="6"/>
        <v>40560</v>
      </c>
    </row>
    <row r="26" spans="1:9" x14ac:dyDescent="0.2">
      <c r="A26" s="472" t="s">
        <v>599</v>
      </c>
      <c r="C26" s="106">
        <v>16</v>
      </c>
      <c r="D26" s="107">
        <f t="shared" si="0"/>
        <v>33280</v>
      </c>
      <c r="E26" s="107">
        <f t="shared" si="1"/>
        <v>36608</v>
      </c>
      <c r="F26" s="107">
        <f t="shared" si="2"/>
        <v>38272</v>
      </c>
      <c r="G26" s="107">
        <f t="shared" si="3"/>
        <v>39936</v>
      </c>
      <c r="H26" s="107">
        <f t="shared" si="4"/>
        <v>41600</v>
      </c>
      <c r="I26" s="107">
        <f t="shared" si="6"/>
        <v>43264</v>
      </c>
    </row>
    <row r="27" spans="1:9" x14ac:dyDescent="0.2">
      <c r="A27" s="472" t="s">
        <v>599</v>
      </c>
      <c r="C27" s="106">
        <v>16.5</v>
      </c>
      <c r="D27" s="107">
        <f t="shared" si="0"/>
        <v>34320</v>
      </c>
      <c r="E27" s="107">
        <f t="shared" si="1"/>
        <v>37752</v>
      </c>
      <c r="F27" s="107">
        <f t="shared" si="2"/>
        <v>39468</v>
      </c>
      <c r="G27" s="107">
        <f t="shared" si="3"/>
        <v>41184</v>
      </c>
      <c r="H27" s="107">
        <f t="shared" si="4"/>
        <v>42900</v>
      </c>
      <c r="I27" s="107">
        <f t="shared" si="6"/>
        <v>44616</v>
      </c>
    </row>
    <row r="28" spans="1:9" x14ac:dyDescent="0.2">
      <c r="A28" s="472" t="s">
        <v>599</v>
      </c>
      <c r="C28" s="106">
        <v>17</v>
      </c>
      <c r="D28" s="107">
        <f t="shared" si="0"/>
        <v>35360</v>
      </c>
      <c r="E28" s="107">
        <f t="shared" si="1"/>
        <v>38896</v>
      </c>
      <c r="F28" s="107">
        <f t="shared" si="2"/>
        <v>40664</v>
      </c>
      <c r="G28" s="107">
        <f t="shared" si="3"/>
        <v>42432</v>
      </c>
      <c r="H28" s="107">
        <f t="shared" si="4"/>
        <v>44200</v>
      </c>
      <c r="I28" s="107">
        <f t="shared" si="6"/>
        <v>45968</v>
      </c>
    </row>
    <row r="29" spans="1:9" x14ac:dyDescent="0.2">
      <c r="A29" s="472" t="s">
        <v>599</v>
      </c>
      <c r="C29" s="106">
        <v>17.5</v>
      </c>
      <c r="D29" s="107">
        <f t="shared" si="0"/>
        <v>36400</v>
      </c>
      <c r="E29" s="107">
        <f t="shared" si="1"/>
        <v>40040</v>
      </c>
      <c r="F29" s="107">
        <f t="shared" si="2"/>
        <v>41860</v>
      </c>
      <c r="G29" s="107">
        <f t="shared" si="3"/>
        <v>43680</v>
      </c>
      <c r="H29" s="107">
        <f t="shared" si="4"/>
        <v>45500</v>
      </c>
      <c r="I29" s="107">
        <f t="shared" si="6"/>
        <v>47320</v>
      </c>
    </row>
    <row r="30" spans="1:9" x14ac:dyDescent="0.2">
      <c r="A30" s="472" t="s">
        <v>599</v>
      </c>
      <c r="C30" s="106">
        <v>18</v>
      </c>
      <c r="D30" s="107">
        <f t="shared" si="0"/>
        <v>37440</v>
      </c>
      <c r="E30" s="107">
        <f t="shared" si="1"/>
        <v>41184</v>
      </c>
      <c r="F30" s="107">
        <f t="shared" si="2"/>
        <v>43056</v>
      </c>
      <c r="G30" s="107">
        <f t="shared" si="3"/>
        <v>44928</v>
      </c>
      <c r="H30" s="107">
        <f t="shared" si="4"/>
        <v>46800</v>
      </c>
      <c r="I30" s="107">
        <f t="shared" si="6"/>
        <v>48672</v>
      </c>
    </row>
    <row r="31" spans="1:9" x14ac:dyDescent="0.2">
      <c r="A31" s="472" t="s">
        <v>599</v>
      </c>
      <c r="C31" s="106">
        <v>19</v>
      </c>
      <c r="D31" s="107">
        <f t="shared" si="0"/>
        <v>39520</v>
      </c>
      <c r="E31" s="107">
        <f t="shared" si="1"/>
        <v>43472</v>
      </c>
      <c r="F31" s="107">
        <f t="shared" si="2"/>
        <v>45448</v>
      </c>
      <c r="G31" s="107">
        <f t="shared" si="3"/>
        <v>47424</v>
      </c>
      <c r="H31" s="107">
        <f t="shared" si="4"/>
        <v>49400</v>
      </c>
      <c r="I31" s="107">
        <f t="shared" si="6"/>
        <v>51376</v>
      </c>
    </row>
    <row r="32" spans="1:9" x14ac:dyDescent="0.2">
      <c r="A32" s="32"/>
      <c r="B32" s="110"/>
      <c r="C32" s="111"/>
      <c r="D32" s="111"/>
      <c r="E32" s="111"/>
      <c r="F32" s="111"/>
      <c r="G32" s="111"/>
      <c r="H32" s="111"/>
      <c r="I32" s="111"/>
    </row>
    <row r="33" spans="1:11" x14ac:dyDescent="0.2">
      <c r="A33" s="39"/>
      <c r="B33" s="115"/>
      <c r="C33" s="116"/>
      <c r="D33" s="116"/>
      <c r="E33" s="116"/>
      <c r="F33" s="116"/>
      <c r="G33" s="116"/>
      <c r="H33" s="116"/>
      <c r="I33" s="45"/>
    </row>
    <row r="34" spans="1:11" x14ac:dyDescent="0.2">
      <c r="B34" s="112"/>
      <c r="C34" s="45"/>
      <c r="D34" s="45"/>
      <c r="E34" s="45"/>
      <c r="F34" s="45"/>
      <c r="G34" s="45"/>
      <c r="H34" s="45"/>
      <c r="I34" s="45"/>
    </row>
    <row r="35" spans="1:11" x14ac:dyDescent="0.2">
      <c r="A35" s="520" t="s">
        <v>480</v>
      </c>
      <c r="B35" s="520"/>
      <c r="C35" s="520"/>
      <c r="D35" s="520"/>
      <c r="E35" s="520"/>
      <c r="F35" s="520"/>
      <c r="G35" s="520"/>
      <c r="H35" s="520"/>
      <c r="I35" s="520"/>
      <c r="J35" s="27">
        <v>8760</v>
      </c>
    </row>
    <row r="36" spans="1:11" x14ac:dyDescent="0.2">
      <c r="A36" s="520" t="s">
        <v>459</v>
      </c>
      <c r="B36" s="520"/>
      <c r="C36" s="520"/>
      <c r="D36" s="520"/>
      <c r="E36" s="520"/>
      <c r="F36" s="520"/>
      <c r="G36" s="520"/>
      <c r="H36" s="520"/>
      <c r="I36" s="520"/>
      <c r="J36" s="94">
        <v>0.1</v>
      </c>
    </row>
    <row r="37" spans="1:11" ht="13.5" x14ac:dyDescent="0.25">
      <c r="A37" s="520" t="s">
        <v>649</v>
      </c>
      <c r="B37" s="520"/>
      <c r="C37" s="520"/>
      <c r="D37" s="520"/>
      <c r="E37" s="520"/>
      <c r="F37" s="520"/>
      <c r="G37" s="520"/>
      <c r="H37" s="520"/>
      <c r="I37" s="520"/>
      <c r="J37" s="94"/>
    </row>
    <row r="38" spans="1:11" x14ac:dyDescent="0.2">
      <c r="B38" s="95"/>
      <c r="C38" s="95"/>
      <c r="D38" s="45"/>
      <c r="E38" s="45"/>
      <c r="F38" s="45"/>
      <c r="G38" s="45"/>
      <c r="H38" s="45"/>
      <c r="I38" s="45"/>
      <c r="K38" s="94">
        <v>0.15</v>
      </c>
    </row>
    <row r="39" spans="1:11" x14ac:dyDescent="0.2">
      <c r="A39" s="96" t="s">
        <v>449</v>
      </c>
      <c r="B39" s="97" t="s">
        <v>122</v>
      </c>
      <c r="C39" s="97" t="s">
        <v>121</v>
      </c>
      <c r="D39" s="218" t="s">
        <v>481</v>
      </c>
      <c r="E39" s="96" t="s">
        <v>451</v>
      </c>
      <c r="F39" s="96" t="s">
        <v>451</v>
      </c>
      <c r="G39" s="96" t="s">
        <v>451</v>
      </c>
      <c r="H39" s="96" t="s">
        <v>451</v>
      </c>
      <c r="I39" s="96" t="s">
        <v>451</v>
      </c>
      <c r="K39" s="94">
        <v>0.2</v>
      </c>
    </row>
    <row r="40" spans="1:11" x14ac:dyDescent="0.2">
      <c r="A40" s="98" t="s">
        <v>452</v>
      </c>
      <c r="B40" s="99" t="s">
        <v>453</v>
      </c>
      <c r="C40" s="99" t="s">
        <v>453</v>
      </c>
      <c r="D40" s="219" t="s">
        <v>521</v>
      </c>
      <c r="E40" s="101" t="s">
        <v>454</v>
      </c>
      <c r="F40" s="101" t="s">
        <v>455</v>
      </c>
      <c r="G40" s="101" t="s">
        <v>456</v>
      </c>
      <c r="H40" s="101" t="s">
        <v>457</v>
      </c>
      <c r="I40" s="101" t="s">
        <v>458</v>
      </c>
      <c r="K40" s="94">
        <v>0.25</v>
      </c>
    </row>
    <row r="41" spans="1:11" x14ac:dyDescent="0.2">
      <c r="A41" s="102"/>
      <c r="B41" s="103"/>
      <c r="C41" s="103"/>
      <c r="D41" s="113"/>
      <c r="E41" s="105"/>
      <c r="F41" s="105"/>
      <c r="G41" s="105"/>
      <c r="H41" s="105"/>
      <c r="I41" s="105"/>
      <c r="K41" s="94"/>
    </row>
    <row r="42" spans="1:11" x14ac:dyDescent="0.2">
      <c r="A42" s="472" t="s">
        <v>608</v>
      </c>
      <c r="B42" s="106">
        <v>7.5</v>
      </c>
      <c r="C42" s="106">
        <v>8.5</v>
      </c>
      <c r="D42" s="107">
        <f>ROUND((B42*$J$1)+(C42*$J$1),0)</f>
        <v>33280</v>
      </c>
      <c r="E42" s="107">
        <f>ROUND(D42*(100%+$J$2),0)</f>
        <v>36608</v>
      </c>
      <c r="F42" s="107">
        <f>ROUND(D42*(100%+$J$4),0)</f>
        <v>38272</v>
      </c>
      <c r="G42" s="107">
        <f>ROUND(D42*(100%+$J$5),0)</f>
        <v>39936</v>
      </c>
      <c r="H42" s="107">
        <f>ROUND(D42*(100%+$J$6),0)</f>
        <v>41600</v>
      </c>
      <c r="I42" s="107">
        <f>ROUND(D42*(100%+$J$8),0)</f>
        <v>43264</v>
      </c>
      <c r="K42" s="94">
        <v>0.3</v>
      </c>
    </row>
    <row r="43" spans="1:11" x14ac:dyDescent="0.2">
      <c r="A43" s="472" t="s">
        <v>608</v>
      </c>
      <c r="B43" s="106">
        <v>7.5</v>
      </c>
      <c r="C43" s="106">
        <v>9</v>
      </c>
      <c r="D43" s="107">
        <f t="shared" ref="D43:D65" si="7">ROUND((B43*$J$1)+(C43*$J$1),0)</f>
        <v>34320</v>
      </c>
      <c r="E43" s="107">
        <f t="shared" ref="E43:E65" si="8">ROUND(D43*(100%+$J$2),0)</f>
        <v>37752</v>
      </c>
      <c r="F43" s="107">
        <f t="shared" ref="F43:F65" si="9">ROUND(D43*(100%+$J$4),0)</f>
        <v>39468</v>
      </c>
      <c r="G43" s="107">
        <f t="shared" ref="G43:G65" si="10">ROUND(D43*(100%+$J$5),0)</f>
        <v>41184</v>
      </c>
      <c r="H43" s="107">
        <f t="shared" ref="H43:H65" si="11">ROUND(D43*(100%+$J$6),0)</f>
        <v>42900</v>
      </c>
      <c r="I43" s="107">
        <f t="shared" ref="I43:I65" si="12">ROUND(D43*(100%+$J$8),0)</f>
        <v>44616</v>
      </c>
      <c r="K43" s="94"/>
    </row>
    <row r="44" spans="1:11" x14ac:dyDescent="0.2">
      <c r="A44" s="472" t="s">
        <v>608</v>
      </c>
      <c r="B44" s="106">
        <v>8</v>
      </c>
      <c r="C44" s="106">
        <v>9</v>
      </c>
      <c r="D44" s="107">
        <f t="shared" si="7"/>
        <v>35360</v>
      </c>
      <c r="E44" s="107">
        <f t="shared" si="8"/>
        <v>38896</v>
      </c>
      <c r="F44" s="107">
        <f t="shared" si="9"/>
        <v>40664</v>
      </c>
      <c r="G44" s="107">
        <f t="shared" si="10"/>
        <v>42432</v>
      </c>
      <c r="H44" s="107">
        <f t="shared" si="11"/>
        <v>44200</v>
      </c>
      <c r="I44" s="107">
        <f t="shared" si="12"/>
        <v>45968</v>
      </c>
      <c r="K44" s="94"/>
    </row>
    <row r="45" spans="1:11" x14ac:dyDescent="0.2">
      <c r="A45" s="472" t="s">
        <v>608</v>
      </c>
      <c r="B45" s="106">
        <v>8.5</v>
      </c>
      <c r="C45" s="106">
        <v>8.5</v>
      </c>
      <c r="D45" s="107">
        <f t="shared" si="7"/>
        <v>35360</v>
      </c>
      <c r="E45" s="107">
        <f t="shared" si="8"/>
        <v>38896</v>
      </c>
      <c r="F45" s="107">
        <f t="shared" si="9"/>
        <v>40664</v>
      </c>
      <c r="G45" s="107">
        <f t="shared" si="10"/>
        <v>42432</v>
      </c>
      <c r="H45" s="107">
        <f t="shared" si="11"/>
        <v>44200</v>
      </c>
      <c r="I45" s="107">
        <f t="shared" si="12"/>
        <v>45968</v>
      </c>
    </row>
    <row r="46" spans="1:11" x14ac:dyDescent="0.2">
      <c r="A46" s="472" t="s">
        <v>608</v>
      </c>
      <c r="B46" s="106">
        <v>8.5</v>
      </c>
      <c r="C46" s="106">
        <v>9</v>
      </c>
      <c r="D46" s="107">
        <f t="shared" si="7"/>
        <v>36400</v>
      </c>
      <c r="E46" s="107">
        <f t="shared" si="8"/>
        <v>40040</v>
      </c>
      <c r="F46" s="107">
        <f t="shared" si="9"/>
        <v>41860</v>
      </c>
      <c r="G46" s="107">
        <f t="shared" si="10"/>
        <v>43680</v>
      </c>
      <c r="H46" s="107">
        <f t="shared" si="11"/>
        <v>45500</v>
      </c>
      <c r="I46" s="107">
        <f t="shared" si="12"/>
        <v>47320</v>
      </c>
    </row>
    <row r="47" spans="1:11" x14ac:dyDescent="0.2">
      <c r="A47" s="472" t="s">
        <v>608</v>
      </c>
      <c r="B47" s="106">
        <v>8.75</v>
      </c>
      <c r="C47" s="106">
        <v>9</v>
      </c>
      <c r="D47" s="107">
        <f t="shared" si="7"/>
        <v>36920</v>
      </c>
      <c r="E47" s="107">
        <f t="shared" si="8"/>
        <v>40612</v>
      </c>
      <c r="F47" s="107">
        <f t="shared" si="9"/>
        <v>42458</v>
      </c>
      <c r="G47" s="107">
        <f t="shared" si="10"/>
        <v>44304</v>
      </c>
      <c r="H47" s="107">
        <f t="shared" si="11"/>
        <v>46150</v>
      </c>
      <c r="I47" s="107">
        <f t="shared" si="12"/>
        <v>47996</v>
      </c>
    </row>
    <row r="48" spans="1:11" x14ac:dyDescent="0.2">
      <c r="A48" s="472" t="s">
        <v>608</v>
      </c>
      <c r="B48" s="106">
        <v>9.5</v>
      </c>
      <c r="C48" s="106">
        <v>9.5</v>
      </c>
      <c r="D48" s="107">
        <f t="shared" si="7"/>
        <v>39520</v>
      </c>
      <c r="E48" s="107">
        <f t="shared" si="8"/>
        <v>43472</v>
      </c>
      <c r="F48" s="107">
        <f t="shared" si="9"/>
        <v>45448</v>
      </c>
      <c r="G48" s="107">
        <f t="shared" si="10"/>
        <v>47424</v>
      </c>
      <c r="H48" s="107">
        <f t="shared" si="11"/>
        <v>49400</v>
      </c>
      <c r="I48" s="107">
        <f t="shared" si="12"/>
        <v>51376</v>
      </c>
    </row>
    <row r="49" spans="1:9" x14ac:dyDescent="0.2">
      <c r="A49" s="472" t="s">
        <v>608</v>
      </c>
      <c r="B49" s="106">
        <v>9.75</v>
      </c>
      <c r="C49" s="106">
        <v>9.75</v>
      </c>
      <c r="D49" s="107">
        <f t="shared" si="7"/>
        <v>40560</v>
      </c>
      <c r="E49" s="107">
        <f t="shared" si="8"/>
        <v>44616</v>
      </c>
      <c r="F49" s="107">
        <f t="shared" si="9"/>
        <v>46644</v>
      </c>
      <c r="G49" s="107">
        <f t="shared" si="10"/>
        <v>48672</v>
      </c>
      <c r="H49" s="107">
        <f t="shared" si="11"/>
        <v>50700</v>
      </c>
      <c r="I49" s="107">
        <f t="shared" si="12"/>
        <v>52728</v>
      </c>
    </row>
    <row r="50" spans="1:9" x14ac:dyDescent="0.2">
      <c r="A50" s="472" t="s">
        <v>607</v>
      </c>
      <c r="B50" s="106">
        <v>8.5</v>
      </c>
      <c r="C50" s="106">
        <v>10</v>
      </c>
      <c r="D50" s="107">
        <f t="shared" si="7"/>
        <v>38480</v>
      </c>
      <c r="E50" s="107">
        <f t="shared" si="8"/>
        <v>42328</v>
      </c>
      <c r="F50" s="107">
        <f t="shared" si="9"/>
        <v>44252</v>
      </c>
      <c r="G50" s="107">
        <f t="shared" si="10"/>
        <v>46176</v>
      </c>
      <c r="H50" s="107">
        <f t="shared" si="11"/>
        <v>48100</v>
      </c>
      <c r="I50" s="107">
        <f t="shared" si="12"/>
        <v>50024</v>
      </c>
    </row>
    <row r="51" spans="1:9" x14ac:dyDescent="0.2">
      <c r="A51" s="472" t="s">
        <v>607</v>
      </c>
      <c r="B51" s="106">
        <v>8.75</v>
      </c>
      <c r="C51" s="106">
        <v>12</v>
      </c>
      <c r="D51" s="107">
        <f t="shared" si="7"/>
        <v>43160</v>
      </c>
      <c r="E51" s="107">
        <f t="shared" si="8"/>
        <v>47476</v>
      </c>
      <c r="F51" s="107">
        <f t="shared" si="9"/>
        <v>49634</v>
      </c>
      <c r="G51" s="107">
        <f t="shared" si="10"/>
        <v>51792</v>
      </c>
      <c r="H51" s="107">
        <f t="shared" si="11"/>
        <v>53950</v>
      </c>
      <c r="I51" s="107">
        <f t="shared" si="12"/>
        <v>56108</v>
      </c>
    </row>
    <row r="52" spans="1:9" x14ac:dyDescent="0.2">
      <c r="A52" s="472" t="s">
        <v>607</v>
      </c>
      <c r="B52" s="106">
        <v>8.75</v>
      </c>
      <c r="C52" s="106">
        <v>13</v>
      </c>
      <c r="D52" s="107">
        <f t="shared" si="7"/>
        <v>45240</v>
      </c>
      <c r="E52" s="107">
        <f t="shared" si="8"/>
        <v>49764</v>
      </c>
      <c r="F52" s="107">
        <f t="shared" si="9"/>
        <v>52026</v>
      </c>
      <c r="G52" s="107">
        <f t="shared" si="10"/>
        <v>54288</v>
      </c>
      <c r="H52" s="107">
        <f t="shared" si="11"/>
        <v>56550</v>
      </c>
      <c r="I52" s="107">
        <f t="shared" si="12"/>
        <v>58812</v>
      </c>
    </row>
    <row r="53" spans="1:9" x14ac:dyDescent="0.2">
      <c r="A53" s="472" t="s">
        <v>607</v>
      </c>
      <c r="B53" s="106">
        <v>9</v>
      </c>
      <c r="C53" s="106">
        <v>14</v>
      </c>
      <c r="D53" s="107">
        <f t="shared" si="7"/>
        <v>47840</v>
      </c>
      <c r="E53" s="107">
        <f t="shared" si="8"/>
        <v>52624</v>
      </c>
      <c r="F53" s="107">
        <f t="shared" si="9"/>
        <v>55016</v>
      </c>
      <c r="G53" s="107">
        <f t="shared" si="10"/>
        <v>57408</v>
      </c>
      <c r="H53" s="107">
        <f t="shared" si="11"/>
        <v>59800</v>
      </c>
      <c r="I53" s="107">
        <f t="shared" si="12"/>
        <v>62192</v>
      </c>
    </row>
    <row r="54" spans="1:9" x14ac:dyDescent="0.2">
      <c r="A54" s="472" t="s">
        <v>607</v>
      </c>
      <c r="B54" s="106">
        <v>9.5</v>
      </c>
      <c r="C54" s="106">
        <v>15</v>
      </c>
      <c r="D54" s="107">
        <f t="shared" si="7"/>
        <v>50960</v>
      </c>
      <c r="E54" s="107">
        <f t="shared" si="8"/>
        <v>56056</v>
      </c>
      <c r="F54" s="107">
        <f t="shared" si="9"/>
        <v>58604</v>
      </c>
      <c r="G54" s="107">
        <f t="shared" si="10"/>
        <v>61152</v>
      </c>
      <c r="H54" s="107">
        <f t="shared" si="11"/>
        <v>63700</v>
      </c>
      <c r="I54" s="107">
        <f t="shared" si="12"/>
        <v>66248</v>
      </c>
    </row>
    <row r="55" spans="1:9" x14ac:dyDescent="0.2">
      <c r="A55" s="472" t="s">
        <v>607</v>
      </c>
      <c r="B55" s="106">
        <v>10</v>
      </c>
      <c r="C55" s="106">
        <v>15</v>
      </c>
      <c r="D55" s="107">
        <f t="shared" si="7"/>
        <v>52000</v>
      </c>
      <c r="E55" s="107">
        <f t="shared" si="8"/>
        <v>57200</v>
      </c>
      <c r="F55" s="107">
        <f t="shared" si="9"/>
        <v>59800</v>
      </c>
      <c r="G55" s="107">
        <f t="shared" si="10"/>
        <v>62400</v>
      </c>
      <c r="H55" s="107">
        <f t="shared" si="11"/>
        <v>65000</v>
      </c>
      <c r="I55" s="107">
        <f t="shared" si="12"/>
        <v>67600</v>
      </c>
    </row>
    <row r="56" spans="1:9" x14ac:dyDescent="0.2">
      <c r="A56" s="472" t="s">
        <v>607</v>
      </c>
      <c r="B56" s="106">
        <v>11</v>
      </c>
      <c r="C56" s="106">
        <v>16</v>
      </c>
      <c r="D56" s="107">
        <f t="shared" si="7"/>
        <v>56160</v>
      </c>
      <c r="E56" s="107">
        <f t="shared" si="8"/>
        <v>61776</v>
      </c>
      <c r="F56" s="107">
        <f t="shared" si="9"/>
        <v>64584</v>
      </c>
      <c r="G56" s="107">
        <f t="shared" si="10"/>
        <v>67392</v>
      </c>
      <c r="H56" s="107">
        <f t="shared" si="11"/>
        <v>70200</v>
      </c>
      <c r="I56" s="107">
        <f t="shared" si="12"/>
        <v>73008</v>
      </c>
    </row>
    <row r="57" spans="1:9" x14ac:dyDescent="0.2">
      <c r="A57" s="472" t="s">
        <v>607</v>
      </c>
      <c r="B57" s="106">
        <v>12</v>
      </c>
      <c r="C57" s="106">
        <v>17</v>
      </c>
      <c r="D57" s="107">
        <f t="shared" si="7"/>
        <v>60320</v>
      </c>
      <c r="E57" s="107">
        <f t="shared" si="8"/>
        <v>66352</v>
      </c>
      <c r="F57" s="107">
        <f t="shared" si="9"/>
        <v>69368</v>
      </c>
      <c r="G57" s="107">
        <f t="shared" si="10"/>
        <v>72384</v>
      </c>
      <c r="H57" s="107">
        <f t="shared" si="11"/>
        <v>75400</v>
      </c>
      <c r="I57" s="107">
        <f t="shared" si="12"/>
        <v>78416</v>
      </c>
    </row>
    <row r="58" spans="1:9" x14ac:dyDescent="0.2">
      <c r="A58" s="472" t="s">
        <v>600</v>
      </c>
      <c r="B58" s="106">
        <v>13</v>
      </c>
      <c r="C58" s="106">
        <v>18</v>
      </c>
      <c r="D58" s="107">
        <f t="shared" si="7"/>
        <v>64480</v>
      </c>
      <c r="E58" s="107">
        <f t="shared" si="8"/>
        <v>70928</v>
      </c>
      <c r="F58" s="107">
        <f t="shared" si="9"/>
        <v>74152</v>
      </c>
      <c r="G58" s="107">
        <f t="shared" si="10"/>
        <v>77376</v>
      </c>
      <c r="H58" s="107">
        <f t="shared" si="11"/>
        <v>80600</v>
      </c>
      <c r="I58" s="107">
        <f t="shared" si="12"/>
        <v>83824</v>
      </c>
    </row>
    <row r="59" spans="1:9" x14ac:dyDescent="0.2">
      <c r="A59" s="472" t="s">
        <v>600</v>
      </c>
      <c r="B59" s="106">
        <v>14</v>
      </c>
      <c r="C59" s="106">
        <v>19</v>
      </c>
      <c r="D59" s="107">
        <f t="shared" si="7"/>
        <v>68640</v>
      </c>
      <c r="E59" s="107">
        <f t="shared" si="8"/>
        <v>75504</v>
      </c>
      <c r="F59" s="107">
        <f t="shared" si="9"/>
        <v>78936</v>
      </c>
      <c r="G59" s="107">
        <f t="shared" si="10"/>
        <v>82368</v>
      </c>
      <c r="H59" s="107">
        <f t="shared" si="11"/>
        <v>85800</v>
      </c>
      <c r="I59" s="107">
        <f t="shared" si="12"/>
        <v>89232</v>
      </c>
    </row>
    <row r="60" spans="1:9" x14ac:dyDescent="0.2">
      <c r="A60" s="472" t="s">
        <v>600</v>
      </c>
      <c r="B60" s="106">
        <v>8.5</v>
      </c>
      <c r="C60" s="106">
        <v>10.5</v>
      </c>
      <c r="D60" s="107">
        <f t="shared" si="7"/>
        <v>39520</v>
      </c>
      <c r="E60" s="107">
        <f t="shared" si="8"/>
        <v>43472</v>
      </c>
      <c r="F60" s="107">
        <f t="shared" si="9"/>
        <v>45448</v>
      </c>
      <c r="G60" s="107">
        <f t="shared" si="10"/>
        <v>47424</v>
      </c>
      <c r="H60" s="107">
        <f t="shared" si="11"/>
        <v>49400</v>
      </c>
      <c r="I60" s="107">
        <f t="shared" si="12"/>
        <v>51376</v>
      </c>
    </row>
    <row r="61" spans="1:9" x14ac:dyDescent="0.2">
      <c r="A61" s="472" t="s">
        <v>600</v>
      </c>
      <c r="B61" s="106">
        <v>9</v>
      </c>
      <c r="C61" s="106">
        <v>11</v>
      </c>
      <c r="D61" s="107">
        <f t="shared" si="7"/>
        <v>41600</v>
      </c>
      <c r="E61" s="107">
        <f t="shared" si="8"/>
        <v>45760</v>
      </c>
      <c r="F61" s="107">
        <f t="shared" si="9"/>
        <v>47840</v>
      </c>
      <c r="G61" s="107">
        <f t="shared" si="10"/>
        <v>49920</v>
      </c>
      <c r="H61" s="107">
        <f t="shared" si="11"/>
        <v>52000</v>
      </c>
      <c r="I61" s="107">
        <f t="shared" si="12"/>
        <v>54080</v>
      </c>
    </row>
    <row r="62" spans="1:9" x14ac:dyDescent="0.2">
      <c r="A62" s="472" t="s">
        <v>600</v>
      </c>
      <c r="B62" s="106">
        <v>9.5</v>
      </c>
      <c r="C62" s="106">
        <v>11</v>
      </c>
      <c r="D62" s="107">
        <f t="shared" si="7"/>
        <v>42640</v>
      </c>
      <c r="E62" s="107">
        <f t="shared" si="8"/>
        <v>46904</v>
      </c>
      <c r="F62" s="107">
        <f t="shared" si="9"/>
        <v>49036</v>
      </c>
      <c r="G62" s="107">
        <f t="shared" si="10"/>
        <v>51168</v>
      </c>
      <c r="H62" s="107">
        <f t="shared" si="11"/>
        <v>53300</v>
      </c>
      <c r="I62" s="107">
        <f t="shared" si="12"/>
        <v>55432</v>
      </c>
    </row>
    <row r="63" spans="1:9" x14ac:dyDescent="0.2">
      <c r="A63" s="472" t="s">
        <v>600</v>
      </c>
      <c r="B63" s="106">
        <v>9.75</v>
      </c>
      <c r="C63" s="106">
        <v>12</v>
      </c>
      <c r="D63" s="107">
        <f t="shared" si="7"/>
        <v>45240</v>
      </c>
      <c r="E63" s="107">
        <f t="shared" si="8"/>
        <v>49764</v>
      </c>
      <c r="F63" s="107">
        <f t="shared" si="9"/>
        <v>52026</v>
      </c>
      <c r="G63" s="107">
        <f t="shared" si="10"/>
        <v>54288</v>
      </c>
      <c r="H63" s="107">
        <f t="shared" si="11"/>
        <v>56550</v>
      </c>
      <c r="I63" s="107">
        <f t="shared" si="12"/>
        <v>58812</v>
      </c>
    </row>
    <row r="64" spans="1:9" x14ac:dyDescent="0.2">
      <c r="A64" s="472" t="s">
        <v>600</v>
      </c>
      <c r="B64" s="106">
        <v>10</v>
      </c>
      <c r="C64" s="106">
        <v>13</v>
      </c>
      <c r="D64" s="107">
        <f t="shared" si="7"/>
        <v>47840</v>
      </c>
      <c r="E64" s="107">
        <f t="shared" si="8"/>
        <v>52624</v>
      </c>
      <c r="F64" s="107">
        <f t="shared" si="9"/>
        <v>55016</v>
      </c>
      <c r="G64" s="107">
        <f t="shared" si="10"/>
        <v>57408</v>
      </c>
      <c r="H64" s="107">
        <f t="shared" si="11"/>
        <v>59800</v>
      </c>
      <c r="I64" s="107">
        <f t="shared" si="12"/>
        <v>62192</v>
      </c>
    </row>
    <row r="65" spans="1:9" x14ac:dyDescent="0.2">
      <c r="A65" s="472" t="s">
        <v>600</v>
      </c>
      <c r="B65" s="106">
        <v>10.5</v>
      </c>
      <c r="C65" s="106">
        <v>14</v>
      </c>
      <c r="D65" s="107">
        <f t="shared" si="7"/>
        <v>50960</v>
      </c>
      <c r="E65" s="107">
        <f t="shared" si="8"/>
        <v>56056</v>
      </c>
      <c r="F65" s="107">
        <f t="shared" si="9"/>
        <v>58604</v>
      </c>
      <c r="G65" s="107">
        <f t="shared" si="10"/>
        <v>61152</v>
      </c>
      <c r="H65" s="107">
        <f t="shared" si="11"/>
        <v>63700</v>
      </c>
      <c r="I65" s="107">
        <f t="shared" si="12"/>
        <v>66248</v>
      </c>
    </row>
    <row r="66" spans="1:9" x14ac:dyDescent="0.2">
      <c r="A66" s="32"/>
      <c r="B66" s="108"/>
      <c r="C66" s="108"/>
      <c r="D66" s="109"/>
      <c r="E66" s="109"/>
      <c r="F66" s="109"/>
      <c r="G66" s="109"/>
      <c r="H66" s="109"/>
      <c r="I66" s="109"/>
    </row>
    <row r="67" spans="1:9" x14ac:dyDescent="0.2">
      <c r="B67" s="106"/>
      <c r="C67" s="106"/>
      <c r="D67" s="107"/>
      <c r="E67" s="107"/>
      <c r="F67" s="107"/>
      <c r="G67" s="107"/>
      <c r="H67" s="107"/>
      <c r="I67" s="107"/>
    </row>
    <row r="68" spans="1:9" x14ac:dyDescent="0.2">
      <c r="B68" s="106"/>
      <c r="C68" s="106"/>
      <c r="D68" s="107"/>
      <c r="E68" s="107"/>
      <c r="F68" s="107"/>
      <c r="G68" s="107"/>
      <c r="H68" s="107"/>
      <c r="I68" s="107"/>
    </row>
    <row r="69" spans="1:9" ht="13.9" customHeight="1" x14ac:dyDescent="0.2">
      <c r="B69" s="106"/>
      <c r="C69" s="106"/>
      <c r="D69" s="107"/>
      <c r="E69" s="107"/>
      <c r="F69" s="107"/>
      <c r="G69" s="107"/>
      <c r="H69" s="107"/>
      <c r="I69" s="107"/>
    </row>
  </sheetData>
  <sheetProtection sheet="1" objects="1" scenarios="1"/>
  <mergeCells count="6">
    <mergeCell ref="A37:I37"/>
    <mergeCell ref="A35:I35"/>
    <mergeCell ref="A36:I36"/>
    <mergeCell ref="A1:I1"/>
    <mergeCell ref="A2:I2"/>
    <mergeCell ref="A3:I3"/>
  </mergeCells>
  <printOptions horizontalCentered="1"/>
  <pageMargins left="0.4" right="0.4" top="0.4" bottom="0.4" header="0.3" footer="0.3"/>
  <pageSetup orientation="landscape" r:id="rId1"/>
  <rowBreaks count="1" manualBreakCount="1">
    <brk id="3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Normal="100" zoomScaleSheetLayoutView="100" workbookViewId="0">
      <selection activeCell="E23" sqref="E23"/>
    </sheetView>
  </sheetViews>
  <sheetFormatPr defaultRowHeight="15" x14ac:dyDescent="0.25"/>
  <cols>
    <col min="1" max="1" width="27.5703125" customWidth="1"/>
    <col min="2" max="2" width="7.7109375" customWidth="1"/>
    <col min="3" max="3" width="9.85546875" customWidth="1"/>
    <col min="4" max="5" width="11.42578125" bestFit="1" customWidth="1"/>
    <col min="6" max="7" width="12.140625" customWidth="1"/>
    <col min="8" max="8" width="11.7109375" customWidth="1"/>
    <col min="9" max="9" width="11.85546875" customWidth="1"/>
    <col min="10" max="10" width="11.140625" customWidth="1"/>
    <col min="11" max="13" width="9.28515625" bestFit="1" customWidth="1"/>
  </cols>
  <sheetData>
    <row r="1" spans="1:13" s="27" customFormat="1" ht="12.75" x14ac:dyDescent="0.2">
      <c r="A1" s="504" t="s">
        <v>678</v>
      </c>
      <c r="B1" s="504"/>
      <c r="C1" s="504"/>
      <c r="D1" s="504"/>
      <c r="E1" s="504"/>
      <c r="F1" s="504"/>
      <c r="G1" s="504"/>
      <c r="H1" s="504"/>
      <c r="I1" s="504"/>
      <c r="J1" s="504"/>
      <c r="K1" s="45"/>
      <c r="L1" s="45"/>
    </row>
    <row r="2" spans="1:13" s="27" customFormat="1" ht="12.75" x14ac:dyDescent="0.2">
      <c r="A2" s="504" t="s">
        <v>604</v>
      </c>
      <c r="B2" s="504"/>
      <c r="C2" s="504"/>
      <c r="D2" s="504"/>
      <c r="E2" s="504"/>
      <c r="F2" s="504"/>
      <c r="G2" s="504"/>
      <c r="H2" s="504"/>
      <c r="I2" s="504"/>
      <c r="J2" s="504"/>
      <c r="K2" s="45"/>
      <c r="L2" s="45"/>
    </row>
    <row r="3" spans="1:13" s="27" customFormat="1" ht="12.75" x14ac:dyDescent="0.2">
      <c r="A3" s="520" t="s">
        <v>605</v>
      </c>
      <c r="B3" s="520"/>
      <c r="C3" s="520"/>
      <c r="D3" s="520"/>
      <c r="E3" s="520"/>
      <c r="F3" s="520"/>
      <c r="G3" s="520"/>
      <c r="H3" s="520"/>
      <c r="I3" s="520"/>
      <c r="J3" s="520"/>
      <c r="K3" s="45"/>
      <c r="M3" s="94">
        <v>0.1</v>
      </c>
    </row>
    <row r="4" spans="1:13" s="27" customFormat="1" ht="12.75" x14ac:dyDescent="0.2">
      <c r="B4" s="95"/>
      <c r="C4" s="45"/>
      <c r="D4" s="45"/>
      <c r="E4" s="45"/>
      <c r="F4" s="45"/>
      <c r="G4" s="45"/>
      <c r="H4" s="45"/>
      <c r="I4" s="45"/>
      <c r="J4" s="45"/>
      <c r="K4" s="27" t="s">
        <v>482</v>
      </c>
      <c r="L4" s="27">
        <v>7300</v>
      </c>
      <c r="M4" s="94"/>
    </row>
    <row r="5" spans="1:13" s="27" customFormat="1" ht="12.75" x14ac:dyDescent="0.2">
      <c r="A5" s="38"/>
      <c r="B5" s="38"/>
      <c r="C5" s="117"/>
      <c r="D5" s="118"/>
      <c r="E5" s="118"/>
      <c r="F5" s="118"/>
      <c r="G5" s="479" t="s">
        <v>483</v>
      </c>
      <c r="H5" s="479"/>
      <c r="I5" s="31"/>
      <c r="J5" s="473"/>
      <c r="K5" s="27" t="s">
        <v>484</v>
      </c>
      <c r="L5" s="27">
        <v>1460</v>
      </c>
      <c r="M5" s="94"/>
    </row>
    <row r="6" spans="1:13" s="27" customFormat="1" ht="12.75" x14ac:dyDescent="0.2">
      <c r="A6" s="102" t="s">
        <v>449</v>
      </c>
      <c r="B6" s="39"/>
      <c r="C6" s="102" t="s">
        <v>485</v>
      </c>
      <c r="D6" s="103" t="s">
        <v>482</v>
      </c>
      <c r="E6" s="102" t="s">
        <v>484</v>
      </c>
      <c r="F6" s="102" t="s">
        <v>486</v>
      </c>
      <c r="G6" s="96" t="s">
        <v>486</v>
      </c>
      <c r="H6" s="96" t="s">
        <v>486</v>
      </c>
      <c r="I6" s="96" t="s">
        <v>486</v>
      </c>
      <c r="J6" s="96" t="s">
        <v>486</v>
      </c>
      <c r="K6" s="45"/>
      <c r="M6" s="94">
        <v>0.15</v>
      </c>
    </row>
    <row r="7" spans="1:13" s="39" customFormat="1" ht="12.75" x14ac:dyDescent="0.2">
      <c r="A7" s="98" t="s">
        <v>452</v>
      </c>
      <c r="B7" s="32"/>
      <c r="C7" s="98" t="s">
        <v>453</v>
      </c>
      <c r="D7" s="99" t="s">
        <v>487</v>
      </c>
      <c r="E7" s="98" t="s">
        <v>488</v>
      </c>
      <c r="F7" s="119" t="s">
        <v>489</v>
      </c>
      <c r="G7" s="101" t="s">
        <v>455</v>
      </c>
      <c r="H7" s="101" t="s">
        <v>456</v>
      </c>
      <c r="I7" s="101" t="s">
        <v>457</v>
      </c>
      <c r="J7" s="101" t="s">
        <v>458</v>
      </c>
      <c r="K7" s="116"/>
      <c r="M7" s="120"/>
    </row>
    <row r="8" spans="1:13" s="27" customFormat="1" ht="12.75" x14ac:dyDescent="0.2">
      <c r="A8" s="102"/>
      <c r="D8" s="103"/>
      <c r="E8" s="472"/>
      <c r="F8" s="104"/>
      <c r="G8" s="43"/>
      <c r="H8" s="104"/>
      <c r="I8" s="105"/>
      <c r="J8" s="45"/>
      <c r="M8" s="94">
        <v>0.2</v>
      </c>
    </row>
    <row r="9" spans="1:13" s="27" customFormat="1" ht="12.75" x14ac:dyDescent="0.2">
      <c r="A9" s="472" t="s">
        <v>597</v>
      </c>
      <c r="C9" s="50">
        <v>7.5</v>
      </c>
      <c r="D9" s="107">
        <f t="shared" ref="D9:D31" si="0">ROUND(C9*$L$4,0)</f>
        <v>54750</v>
      </c>
      <c r="E9" s="107">
        <f t="shared" ref="E9:E31" si="1">ROUND((C9*1.5)*$L$5,0)</f>
        <v>16425</v>
      </c>
      <c r="F9" s="107">
        <f t="shared" ref="F9:F31" si="2">ROUND(SUM(D9:E9),0)</f>
        <v>71175</v>
      </c>
      <c r="G9" s="107">
        <f>ROUND((D9*(100%+$M$6))+E9,0)</f>
        <v>79388</v>
      </c>
      <c r="H9" s="107">
        <f>ROUND((D9*(100%+$M$8))+E9,0)</f>
        <v>82125</v>
      </c>
      <c r="I9" s="107">
        <f t="shared" ref="I9:I31" si="3">ROUND((D9*(100%+$M$9))+E9,0)</f>
        <v>84863</v>
      </c>
      <c r="J9" s="107">
        <f t="shared" ref="J9:J31" si="4">ROUND((D9*(100%+$M$11))+E9,0)</f>
        <v>87600</v>
      </c>
      <c r="M9" s="94">
        <v>0.25</v>
      </c>
    </row>
    <row r="10" spans="1:13" s="27" customFormat="1" ht="12.75" x14ac:dyDescent="0.2">
      <c r="A10" s="472" t="s">
        <v>597</v>
      </c>
      <c r="C10" s="50">
        <v>7.75</v>
      </c>
      <c r="D10" s="107">
        <f t="shared" si="0"/>
        <v>56575</v>
      </c>
      <c r="E10" s="107">
        <f t="shared" si="1"/>
        <v>16973</v>
      </c>
      <c r="F10" s="107">
        <f t="shared" si="2"/>
        <v>73548</v>
      </c>
      <c r="G10" s="107">
        <f t="shared" ref="G10:G31" si="5">ROUND((D10*(100%+$M$6))+E10,0)</f>
        <v>82034</v>
      </c>
      <c r="H10" s="107">
        <f t="shared" ref="H10:H31" si="6">ROUND((D10*(100%+$M$8))+E10,0)</f>
        <v>84863</v>
      </c>
      <c r="I10" s="107">
        <f t="shared" si="3"/>
        <v>87692</v>
      </c>
      <c r="J10" s="107">
        <f t="shared" si="4"/>
        <v>90521</v>
      </c>
      <c r="M10" s="94"/>
    </row>
    <row r="11" spans="1:13" s="27" customFormat="1" ht="12.75" x14ac:dyDescent="0.2">
      <c r="A11" s="472" t="s">
        <v>597</v>
      </c>
      <c r="C11" s="50">
        <v>8</v>
      </c>
      <c r="D11" s="107">
        <f t="shared" si="0"/>
        <v>58400</v>
      </c>
      <c r="E11" s="107">
        <f t="shared" si="1"/>
        <v>17520</v>
      </c>
      <c r="F11" s="107">
        <f t="shared" si="2"/>
        <v>75920</v>
      </c>
      <c r="G11" s="107">
        <f t="shared" si="5"/>
        <v>84680</v>
      </c>
      <c r="H11" s="107">
        <f t="shared" si="6"/>
        <v>87600</v>
      </c>
      <c r="I11" s="107">
        <f t="shared" si="3"/>
        <v>90520</v>
      </c>
      <c r="J11" s="107">
        <f t="shared" si="4"/>
        <v>93440</v>
      </c>
      <c r="M11" s="94">
        <v>0.3</v>
      </c>
    </row>
    <row r="12" spans="1:13" s="27" customFormat="1" ht="12.75" x14ac:dyDescent="0.2">
      <c r="A12" s="472" t="s">
        <v>597</v>
      </c>
      <c r="C12" s="50">
        <v>8.5</v>
      </c>
      <c r="D12" s="107">
        <f t="shared" si="0"/>
        <v>62050</v>
      </c>
      <c r="E12" s="107">
        <f t="shared" si="1"/>
        <v>18615</v>
      </c>
      <c r="F12" s="107">
        <f t="shared" si="2"/>
        <v>80665</v>
      </c>
      <c r="G12" s="107">
        <f t="shared" si="5"/>
        <v>89973</v>
      </c>
      <c r="H12" s="107">
        <f t="shared" si="6"/>
        <v>93075</v>
      </c>
      <c r="I12" s="107">
        <f t="shared" si="3"/>
        <v>96178</v>
      </c>
      <c r="J12" s="107">
        <f t="shared" si="4"/>
        <v>99280</v>
      </c>
    </row>
    <row r="13" spans="1:13" s="27" customFormat="1" ht="12.75" x14ac:dyDescent="0.2">
      <c r="A13" s="472" t="s">
        <v>597</v>
      </c>
      <c r="C13" s="50">
        <v>8.75</v>
      </c>
      <c r="D13" s="107">
        <f t="shared" si="0"/>
        <v>63875</v>
      </c>
      <c r="E13" s="107">
        <f t="shared" si="1"/>
        <v>19163</v>
      </c>
      <c r="F13" s="107">
        <f t="shared" si="2"/>
        <v>83038</v>
      </c>
      <c r="G13" s="107">
        <f t="shared" si="5"/>
        <v>92619</v>
      </c>
      <c r="H13" s="107">
        <f t="shared" si="6"/>
        <v>95813</v>
      </c>
      <c r="I13" s="107">
        <f t="shared" si="3"/>
        <v>99007</v>
      </c>
      <c r="J13" s="107">
        <f t="shared" si="4"/>
        <v>102201</v>
      </c>
    </row>
    <row r="14" spans="1:13" s="27" customFormat="1" ht="12.75" x14ac:dyDescent="0.2">
      <c r="A14" s="472" t="s">
        <v>597</v>
      </c>
      <c r="C14" s="50">
        <v>9</v>
      </c>
      <c r="D14" s="107">
        <f t="shared" si="0"/>
        <v>65700</v>
      </c>
      <c r="E14" s="107">
        <f t="shared" si="1"/>
        <v>19710</v>
      </c>
      <c r="F14" s="107">
        <f t="shared" si="2"/>
        <v>85410</v>
      </c>
      <c r="G14" s="107">
        <f t="shared" si="5"/>
        <v>95265</v>
      </c>
      <c r="H14" s="107">
        <f t="shared" si="6"/>
        <v>98550</v>
      </c>
      <c r="I14" s="107">
        <f t="shared" si="3"/>
        <v>101835</v>
      </c>
      <c r="J14" s="107">
        <f t="shared" si="4"/>
        <v>105120</v>
      </c>
    </row>
    <row r="15" spans="1:13" s="27" customFormat="1" ht="12.75" x14ac:dyDescent="0.2">
      <c r="A15" s="472" t="s">
        <v>597</v>
      </c>
      <c r="C15" s="50">
        <v>9.5</v>
      </c>
      <c r="D15" s="107">
        <f t="shared" si="0"/>
        <v>69350</v>
      </c>
      <c r="E15" s="107">
        <f t="shared" si="1"/>
        <v>20805</v>
      </c>
      <c r="F15" s="107">
        <f t="shared" si="2"/>
        <v>90155</v>
      </c>
      <c r="G15" s="107">
        <f t="shared" si="5"/>
        <v>100558</v>
      </c>
      <c r="H15" s="107">
        <f t="shared" si="6"/>
        <v>104025</v>
      </c>
      <c r="I15" s="107">
        <f t="shared" si="3"/>
        <v>107493</v>
      </c>
      <c r="J15" s="107">
        <f t="shared" si="4"/>
        <v>110960</v>
      </c>
    </row>
    <row r="16" spans="1:13" s="27" customFormat="1" ht="12.75" x14ac:dyDescent="0.2">
      <c r="A16" s="472" t="s">
        <v>598</v>
      </c>
      <c r="C16" s="50">
        <v>10</v>
      </c>
      <c r="D16" s="107">
        <f t="shared" si="0"/>
        <v>73000</v>
      </c>
      <c r="E16" s="107">
        <f t="shared" si="1"/>
        <v>21900</v>
      </c>
      <c r="F16" s="107">
        <f t="shared" si="2"/>
        <v>94900</v>
      </c>
      <c r="G16" s="107">
        <f t="shared" si="5"/>
        <v>105850</v>
      </c>
      <c r="H16" s="107">
        <f t="shared" si="6"/>
        <v>109500</v>
      </c>
      <c r="I16" s="107">
        <f t="shared" si="3"/>
        <v>113150</v>
      </c>
      <c r="J16" s="107">
        <f t="shared" si="4"/>
        <v>116800</v>
      </c>
    </row>
    <row r="17" spans="1:15" s="27" customFormat="1" ht="12.75" x14ac:dyDescent="0.2">
      <c r="A17" s="472" t="s">
        <v>598</v>
      </c>
      <c r="C17" s="50">
        <v>10.5</v>
      </c>
      <c r="D17" s="107">
        <f t="shared" si="0"/>
        <v>76650</v>
      </c>
      <c r="E17" s="107">
        <f t="shared" si="1"/>
        <v>22995</v>
      </c>
      <c r="F17" s="107">
        <f t="shared" si="2"/>
        <v>99645</v>
      </c>
      <c r="G17" s="107">
        <f t="shared" si="5"/>
        <v>111143</v>
      </c>
      <c r="H17" s="107">
        <f t="shared" si="6"/>
        <v>114975</v>
      </c>
      <c r="I17" s="107">
        <f t="shared" si="3"/>
        <v>118808</v>
      </c>
      <c r="J17" s="107">
        <f t="shared" si="4"/>
        <v>122640</v>
      </c>
    </row>
    <row r="18" spans="1:15" s="27" customFormat="1" ht="12.75" x14ac:dyDescent="0.2">
      <c r="A18" s="472" t="s">
        <v>598</v>
      </c>
      <c r="C18" s="50">
        <v>11</v>
      </c>
      <c r="D18" s="107">
        <f t="shared" si="0"/>
        <v>80300</v>
      </c>
      <c r="E18" s="107">
        <f t="shared" si="1"/>
        <v>24090</v>
      </c>
      <c r="F18" s="107">
        <f t="shared" si="2"/>
        <v>104390</v>
      </c>
      <c r="G18" s="107">
        <f t="shared" si="5"/>
        <v>116435</v>
      </c>
      <c r="H18" s="107">
        <f t="shared" si="6"/>
        <v>120450</v>
      </c>
      <c r="I18" s="107">
        <f t="shared" si="3"/>
        <v>124465</v>
      </c>
      <c r="J18" s="107">
        <f t="shared" si="4"/>
        <v>128480</v>
      </c>
    </row>
    <row r="19" spans="1:15" s="27" customFormat="1" ht="12.75" x14ac:dyDescent="0.2">
      <c r="A19" s="472" t="s">
        <v>598</v>
      </c>
      <c r="C19" s="50">
        <v>11.5</v>
      </c>
      <c r="D19" s="107">
        <f t="shared" si="0"/>
        <v>83950</v>
      </c>
      <c r="E19" s="107">
        <f t="shared" si="1"/>
        <v>25185</v>
      </c>
      <c r="F19" s="107">
        <f t="shared" si="2"/>
        <v>109135</v>
      </c>
      <c r="G19" s="107">
        <f t="shared" si="5"/>
        <v>121728</v>
      </c>
      <c r="H19" s="107">
        <f t="shared" si="6"/>
        <v>125925</v>
      </c>
      <c r="I19" s="107">
        <f t="shared" si="3"/>
        <v>130123</v>
      </c>
      <c r="J19" s="107">
        <f t="shared" si="4"/>
        <v>134320</v>
      </c>
      <c r="O19" s="27">
        <v>656</v>
      </c>
    </row>
    <row r="20" spans="1:15" s="27" customFormat="1" ht="12.75" x14ac:dyDescent="0.2">
      <c r="A20" s="472" t="s">
        <v>598</v>
      </c>
      <c r="C20" s="50">
        <v>12</v>
      </c>
      <c r="D20" s="107">
        <f t="shared" si="0"/>
        <v>87600</v>
      </c>
      <c r="E20" s="107">
        <f t="shared" si="1"/>
        <v>26280</v>
      </c>
      <c r="F20" s="107">
        <f t="shared" si="2"/>
        <v>113880</v>
      </c>
      <c r="G20" s="107">
        <f t="shared" si="5"/>
        <v>127020</v>
      </c>
      <c r="H20" s="107">
        <f t="shared" si="6"/>
        <v>131400</v>
      </c>
      <c r="I20" s="107">
        <f t="shared" si="3"/>
        <v>135780</v>
      </c>
      <c r="J20" s="107">
        <f t="shared" si="4"/>
        <v>140160</v>
      </c>
      <c r="O20" s="27">
        <v>0.05</v>
      </c>
    </row>
    <row r="21" spans="1:15" s="27" customFormat="1" ht="12.75" x14ac:dyDescent="0.2">
      <c r="A21" s="472" t="s">
        <v>598</v>
      </c>
      <c r="C21" s="50">
        <v>12.5</v>
      </c>
      <c r="D21" s="107">
        <f t="shared" si="0"/>
        <v>91250</v>
      </c>
      <c r="E21" s="107">
        <f t="shared" si="1"/>
        <v>27375</v>
      </c>
      <c r="F21" s="107">
        <f t="shared" si="2"/>
        <v>118625</v>
      </c>
      <c r="G21" s="107">
        <f t="shared" si="5"/>
        <v>132313</v>
      </c>
      <c r="H21" s="107">
        <f t="shared" si="6"/>
        <v>136875</v>
      </c>
      <c r="I21" s="107">
        <f t="shared" si="3"/>
        <v>141438</v>
      </c>
      <c r="J21" s="107">
        <f t="shared" si="4"/>
        <v>146000</v>
      </c>
      <c r="L21" s="27">
        <v>8760</v>
      </c>
      <c r="O21" s="27">
        <f>O19*O20</f>
        <v>32.800000000000004</v>
      </c>
    </row>
    <row r="22" spans="1:15" s="27" customFormat="1" ht="12.75" x14ac:dyDescent="0.2">
      <c r="A22" s="472" t="s">
        <v>598</v>
      </c>
      <c r="C22" s="50">
        <v>13</v>
      </c>
      <c r="D22" s="107">
        <f t="shared" si="0"/>
        <v>94900</v>
      </c>
      <c r="E22" s="107">
        <f t="shared" si="1"/>
        <v>28470</v>
      </c>
      <c r="F22" s="107">
        <f t="shared" si="2"/>
        <v>123370</v>
      </c>
      <c r="G22" s="107">
        <f t="shared" si="5"/>
        <v>137605</v>
      </c>
      <c r="H22" s="107">
        <f t="shared" si="6"/>
        <v>142350</v>
      </c>
      <c r="I22" s="107">
        <f t="shared" si="3"/>
        <v>147095</v>
      </c>
      <c r="J22" s="107">
        <f t="shared" si="4"/>
        <v>151840</v>
      </c>
      <c r="L22" s="94">
        <v>0.1</v>
      </c>
      <c r="O22" s="27">
        <v>656</v>
      </c>
    </row>
    <row r="23" spans="1:15" s="27" customFormat="1" ht="12.75" x14ac:dyDescent="0.2">
      <c r="A23" s="472" t="s">
        <v>598</v>
      </c>
      <c r="C23" s="50">
        <v>13.5</v>
      </c>
      <c r="D23" s="107">
        <f t="shared" si="0"/>
        <v>98550</v>
      </c>
      <c r="E23" s="107">
        <f t="shared" si="1"/>
        <v>29565</v>
      </c>
      <c r="F23" s="107">
        <f t="shared" si="2"/>
        <v>128115</v>
      </c>
      <c r="G23" s="107">
        <f t="shared" si="5"/>
        <v>142898</v>
      </c>
      <c r="H23" s="107">
        <f t="shared" si="6"/>
        <v>147825</v>
      </c>
      <c r="I23" s="107">
        <f t="shared" si="3"/>
        <v>152753</v>
      </c>
      <c r="J23" s="107">
        <f t="shared" si="4"/>
        <v>157680</v>
      </c>
      <c r="K23" s="94"/>
      <c r="O23" s="27">
        <f>O21+O22</f>
        <v>688.8</v>
      </c>
    </row>
    <row r="24" spans="1:15" s="27" customFormat="1" ht="12.75" x14ac:dyDescent="0.2">
      <c r="A24" s="472" t="s">
        <v>599</v>
      </c>
      <c r="C24" s="50">
        <v>14</v>
      </c>
      <c r="D24" s="107">
        <f t="shared" si="0"/>
        <v>102200</v>
      </c>
      <c r="E24" s="107">
        <f t="shared" si="1"/>
        <v>30660</v>
      </c>
      <c r="F24" s="107">
        <f t="shared" si="2"/>
        <v>132860</v>
      </c>
      <c r="G24" s="107">
        <f t="shared" si="5"/>
        <v>148190</v>
      </c>
      <c r="H24" s="107">
        <f t="shared" si="6"/>
        <v>153300</v>
      </c>
      <c r="I24" s="107">
        <f t="shared" si="3"/>
        <v>158410</v>
      </c>
      <c r="J24" s="107">
        <f t="shared" si="4"/>
        <v>163520</v>
      </c>
      <c r="L24" s="94">
        <v>0.15</v>
      </c>
    </row>
    <row r="25" spans="1:15" s="27" customFormat="1" ht="12.75" x14ac:dyDescent="0.2">
      <c r="A25" s="472" t="s">
        <v>599</v>
      </c>
      <c r="C25" s="50">
        <v>15</v>
      </c>
      <c r="D25" s="107">
        <f t="shared" si="0"/>
        <v>109500</v>
      </c>
      <c r="E25" s="107">
        <f t="shared" si="1"/>
        <v>32850</v>
      </c>
      <c r="F25" s="107">
        <f t="shared" si="2"/>
        <v>142350</v>
      </c>
      <c r="G25" s="107">
        <f t="shared" si="5"/>
        <v>158775</v>
      </c>
      <c r="H25" s="107">
        <f t="shared" si="6"/>
        <v>164250</v>
      </c>
      <c r="I25" s="107">
        <f t="shared" si="3"/>
        <v>169725</v>
      </c>
      <c r="J25" s="107">
        <f t="shared" si="4"/>
        <v>175200</v>
      </c>
      <c r="L25" s="94">
        <v>0.2</v>
      </c>
    </row>
    <row r="26" spans="1:15" s="27" customFormat="1" ht="12.75" x14ac:dyDescent="0.2">
      <c r="A26" s="472" t="s">
        <v>599</v>
      </c>
      <c r="C26" s="50">
        <v>16</v>
      </c>
      <c r="D26" s="107">
        <f t="shared" si="0"/>
        <v>116800</v>
      </c>
      <c r="E26" s="107">
        <f t="shared" si="1"/>
        <v>35040</v>
      </c>
      <c r="F26" s="107">
        <f t="shared" si="2"/>
        <v>151840</v>
      </c>
      <c r="G26" s="107">
        <f t="shared" si="5"/>
        <v>169360</v>
      </c>
      <c r="H26" s="107">
        <f t="shared" si="6"/>
        <v>175200</v>
      </c>
      <c r="I26" s="107">
        <f t="shared" si="3"/>
        <v>181040</v>
      </c>
      <c r="J26" s="107">
        <f t="shared" si="4"/>
        <v>186880</v>
      </c>
      <c r="L26" s="94">
        <v>0.25</v>
      </c>
    </row>
    <row r="27" spans="1:15" s="27" customFormat="1" ht="12.75" x14ac:dyDescent="0.2">
      <c r="A27" s="472" t="s">
        <v>599</v>
      </c>
      <c r="C27" s="50">
        <v>16.5</v>
      </c>
      <c r="D27" s="107">
        <f t="shared" si="0"/>
        <v>120450</v>
      </c>
      <c r="E27" s="107">
        <f t="shared" si="1"/>
        <v>36135</v>
      </c>
      <c r="F27" s="107">
        <f t="shared" si="2"/>
        <v>156585</v>
      </c>
      <c r="G27" s="107">
        <f t="shared" si="5"/>
        <v>174653</v>
      </c>
      <c r="H27" s="107">
        <f t="shared" si="6"/>
        <v>180675</v>
      </c>
      <c r="I27" s="107">
        <f t="shared" si="3"/>
        <v>186698</v>
      </c>
      <c r="J27" s="107">
        <f t="shared" si="4"/>
        <v>192720</v>
      </c>
      <c r="L27" s="94">
        <v>0.3</v>
      </c>
    </row>
    <row r="28" spans="1:15" s="27" customFormat="1" ht="12.75" x14ac:dyDescent="0.2">
      <c r="A28" s="472" t="s">
        <v>599</v>
      </c>
      <c r="C28" s="50">
        <v>17</v>
      </c>
      <c r="D28" s="107">
        <f t="shared" si="0"/>
        <v>124100</v>
      </c>
      <c r="E28" s="107">
        <f t="shared" si="1"/>
        <v>37230</v>
      </c>
      <c r="F28" s="107">
        <f t="shared" si="2"/>
        <v>161330</v>
      </c>
      <c r="G28" s="107">
        <f t="shared" si="5"/>
        <v>179945</v>
      </c>
      <c r="H28" s="107">
        <f t="shared" si="6"/>
        <v>186150</v>
      </c>
      <c r="I28" s="107">
        <f t="shared" si="3"/>
        <v>192355</v>
      </c>
      <c r="J28" s="107">
        <f t="shared" si="4"/>
        <v>198560</v>
      </c>
    </row>
    <row r="29" spans="1:15" s="27" customFormat="1" ht="12.75" x14ac:dyDescent="0.2">
      <c r="A29" s="472" t="s">
        <v>599</v>
      </c>
      <c r="C29" s="50">
        <v>18</v>
      </c>
      <c r="D29" s="107">
        <f t="shared" si="0"/>
        <v>131400</v>
      </c>
      <c r="E29" s="107">
        <f t="shared" si="1"/>
        <v>39420</v>
      </c>
      <c r="F29" s="107">
        <f t="shared" si="2"/>
        <v>170820</v>
      </c>
      <c r="G29" s="107">
        <f t="shared" si="5"/>
        <v>190530</v>
      </c>
      <c r="H29" s="107">
        <f t="shared" si="6"/>
        <v>197100</v>
      </c>
      <c r="I29" s="107">
        <f t="shared" si="3"/>
        <v>203670</v>
      </c>
      <c r="J29" s="107">
        <f t="shared" si="4"/>
        <v>210240</v>
      </c>
    </row>
    <row r="30" spans="1:15" s="27" customFormat="1" ht="12.75" x14ac:dyDescent="0.2">
      <c r="A30" s="472" t="s">
        <v>599</v>
      </c>
      <c r="C30" s="50">
        <v>19</v>
      </c>
      <c r="D30" s="107">
        <f t="shared" si="0"/>
        <v>138700</v>
      </c>
      <c r="E30" s="107">
        <f t="shared" si="1"/>
        <v>41610</v>
      </c>
      <c r="F30" s="107">
        <f t="shared" si="2"/>
        <v>180310</v>
      </c>
      <c r="G30" s="107">
        <f t="shared" si="5"/>
        <v>201115</v>
      </c>
      <c r="H30" s="107">
        <f t="shared" si="6"/>
        <v>208050</v>
      </c>
      <c r="I30" s="107">
        <f t="shared" si="3"/>
        <v>214985</v>
      </c>
      <c r="J30" s="107">
        <f t="shared" si="4"/>
        <v>221920</v>
      </c>
    </row>
    <row r="31" spans="1:15" s="27" customFormat="1" ht="12.75" x14ac:dyDescent="0.2">
      <c r="A31" s="472" t="s">
        <v>599</v>
      </c>
      <c r="C31" s="50">
        <v>20</v>
      </c>
      <c r="D31" s="107">
        <f t="shared" si="0"/>
        <v>146000</v>
      </c>
      <c r="E31" s="107">
        <f t="shared" si="1"/>
        <v>43800</v>
      </c>
      <c r="F31" s="107">
        <f t="shared" si="2"/>
        <v>189800</v>
      </c>
      <c r="G31" s="107">
        <f t="shared" si="5"/>
        <v>211700</v>
      </c>
      <c r="H31" s="107">
        <f t="shared" si="6"/>
        <v>219000</v>
      </c>
      <c r="I31" s="107">
        <f t="shared" si="3"/>
        <v>226300</v>
      </c>
      <c r="J31" s="107">
        <f t="shared" si="4"/>
        <v>233600</v>
      </c>
    </row>
    <row r="32" spans="1:15" s="27" customFormat="1" ht="12.75" x14ac:dyDescent="0.2">
      <c r="A32" s="32"/>
      <c r="B32" s="32"/>
      <c r="C32" s="32"/>
      <c r="D32" s="110"/>
      <c r="E32" s="32"/>
      <c r="F32" s="111"/>
      <c r="G32" s="32"/>
      <c r="H32" s="111"/>
      <c r="I32" s="111"/>
      <c r="J32" s="111"/>
    </row>
    <row r="33" spans="1:11" s="27" customFormat="1" ht="12.75" x14ac:dyDescent="0.2">
      <c r="B33" s="106"/>
      <c r="C33" s="106"/>
      <c r="D33" s="107"/>
      <c r="E33" s="107"/>
      <c r="F33" s="107"/>
      <c r="G33" s="107"/>
      <c r="H33" s="107"/>
      <c r="I33" s="107"/>
      <c r="J33" s="45"/>
    </row>
    <row r="34" spans="1:11" s="27" customFormat="1" ht="12.75" x14ac:dyDescent="0.2">
      <c r="A34" s="504" t="s">
        <v>677</v>
      </c>
      <c r="B34" s="504"/>
      <c r="C34" s="504"/>
      <c r="D34" s="504"/>
      <c r="E34" s="504"/>
      <c r="F34" s="504"/>
      <c r="G34" s="504"/>
      <c r="H34" s="504"/>
      <c r="I34" s="504"/>
      <c r="J34" s="504"/>
      <c r="K34" s="27">
        <v>7300</v>
      </c>
    </row>
    <row r="35" spans="1:11" s="27" customFormat="1" ht="12.75" x14ac:dyDescent="0.2">
      <c r="A35" s="504" t="s">
        <v>676</v>
      </c>
      <c r="B35" s="504"/>
      <c r="C35" s="504"/>
      <c r="D35" s="504"/>
      <c r="E35" s="504"/>
      <c r="F35" s="504"/>
      <c r="G35" s="504"/>
      <c r="H35" s="504"/>
      <c r="I35" s="504"/>
      <c r="J35" s="504"/>
      <c r="K35" s="27">
        <v>1460</v>
      </c>
    </row>
    <row r="36" spans="1:11" s="27" customFormat="1" ht="12.75" x14ac:dyDescent="0.2">
      <c r="A36" s="522" t="s">
        <v>606</v>
      </c>
      <c r="B36" s="522"/>
      <c r="C36" s="522"/>
      <c r="D36" s="522"/>
      <c r="E36" s="522"/>
      <c r="F36" s="522"/>
      <c r="G36" s="522"/>
      <c r="H36" s="522"/>
      <c r="I36" s="522"/>
      <c r="J36" s="522"/>
    </row>
    <row r="37" spans="1:11" s="39" customFormat="1" ht="12.75" x14ac:dyDescent="0.2">
      <c r="A37" s="38"/>
      <c r="B37" s="97" t="s">
        <v>122</v>
      </c>
      <c r="C37" s="97" t="s">
        <v>121</v>
      </c>
      <c r="D37" s="118" t="s">
        <v>482</v>
      </c>
      <c r="E37" s="118" t="s">
        <v>484</v>
      </c>
      <c r="F37" s="96" t="s">
        <v>486</v>
      </c>
      <c r="G37" s="521" t="s">
        <v>483</v>
      </c>
      <c r="H37" s="521"/>
      <c r="I37" s="521"/>
      <c r="J37" s="521"/>
    </row>
    <row r="38" spans="1:11" s="39" customFormat="1" ht="12.75" x14ac:dyDescent="0.2">
      <c r="A38" s="102" t="s">
        <v>449</v>
      </c>
      <c r="B38" s="103" t="s">
        <v>490</v>
      </c>
      <c r="C38" s="103" t="s">
        <v>490</v>
      </c>
      <c r="D38" s="103" t="s">
        <v>487</v>
      </c>
      <c r="E38" s="102" t="s">
        <v>488</v>
      </c>
      <c r="F38" s="102" t="s">
        <v>491</v>
      </c>
      <c r="G38" s="102" t="s">
        <v>486</v>
      </c>
      <c r="H38" s="102" t="s">
        <v>486</v>
      </c>
      <c r="I38" s="102" t="s">
        <v>486</v>
      </c>
      <c r="J38" s="102" t="s">
        <v>486</v>
      </c>
    </row>
    <row r="39" spans="1:11" s="39" customFormat="1" ht="12.75" x14ac:dyDescent="0.2">
      <c r="A39" s="98" t="s">
        <v>452</v>
      </c>
      <c r="B39" s="99" t="s">
        <v>453</v>
      </c>
      <c r="C39" s="99" t="s">
        <v>453</v>
      </c>
      <c r="D39" s="99" t="s">
        <v>492</v>
      </c>
      <c r="E39" s="98" t="s">
        <v>492</v>
      </c>
      <c r="F39" s="119" t="s">
        <v>484</v>
      </c>
      <c r="G39" s="101" t="s">
        <v>455</v>
      </c>
      <c r="H39" s="101" t="s">
        <v>456</v>
      </c>
      <c r="I39" s="101" t="s">
        <v>457</v>
      </c>
      <c r="J39" s="101" t="s">
        <v>458</v>
      </c>
    </row>
    <row r="40" spans="1:11" s="27" customFormat="1" ht="12.75" x14ac:dyDescent="0.2">
      <c r="A40" s="102"/>
      <c r="B40" s="103"/>
      <c r="C40" s="103"/>
      <c r="D40" s="113"/>
      <c r="E40" s="105"/>
      <c r="F40" s="105"/>
      <c r="G40" s="121"/>
      <c r="H40" s="121"/>
      <c r="I40" s="121"/>
      <c r="J40" s="45"/>
    </row>
    <row r="41" spans="1:11" s="27" customFormat="1" ht="12.75" x14ac:dyDescent="0.2">
      <c r="A41" s="472" t="s">
        <v>608</v>
      </c>
      <c r="B41" s="106">
        <v>7.5</v>
      </c>
      <c r="C41" s="106">
        <v>8.5</v>
      </c>
      <c r="D41" s="107">
        <f>ROUND((B41*$K$34)+(C41*$K$34),0)</f>
        <v>116800</v>
      </c>
      <c r="E41" s="107">
        <f>ROUND(((B41*1.5)*$K$35)+((C41*1.5)*$K$35),0)</f>
        <v>35040</v>
      </c>
      <c r="F41" s="107">
        <f>ROUND(SUM(D41:E41),0)</f>
        <v>151840</v>
      </c>
      <c r="G41" s="107">
        <f>ROUND((D41*(100%+$M$6))+E41,0)</f>
        <v>169360</v>
      </c>
      <c r="H41" s="107">
        <f>ROUND((D41*(100%+$M$8))+E41,0)</f>
        <v>175200</v>
      </c>
      <c r="I41" s="107">
        <f>ROUND((D41*(100%+$M$9))+E41,0)</f>
        <v>181040</v>
      </c>
      <c r="J41" s="107">
        <f>ROUND((D41*(100%+$M$11))+E41,0)</f>
        <v>186880</v>
      </c>
    </row>
    <row r="42" spans="1:11" s="27" customFormat="1" ht="12.75" x14ac:dyDescent="0.2">
      <c r="A42" s="472" t="s">
        <v>608</v>
      </c>
      <c r="B42" s="106">
        <v>7.5</v>
      </c>
      <c r="C42" s="106">
        <v>9</v>
      </c>
      <c r="D42" s="107">
        <f t="shared" ref="D42:D64" si="7">ROUND((B42*$K$34)+(C42*$K$34),0)</f>
        <v>120450</v>
      </c>
      <c r="E42" s="107">
        <f t="shared" ref="E42:E64" si="8">ROUND(((B42*1.5)*$K$35)+((C42*1.5)*$K$35),0)</f>
        <v>36135</v>
      </c>
      <c r="F42" s="107">
        <f t="shared" ref="F42:F64" si="9">ROUND(SUM(D42:E42),0)</f>
        <v>156585</v>
      </c>
      <c r="G42" s="107">
        <f t="shared" ref="G42:G64" si="10">ROUND((D42*(100%+$M$6))+E42,0)</f>
        <v>174653</v>
      </c>
      <c r="H42" s="107">
        <f t="shared" ref="H42:H64" si="11">ROUND((D42*(100%+$M$8))+E42,0)</f>
        <v>180675</v>
      </c>
      <c r="I42" s="107">
        <f t="shared" ref="I42:I64" si="12">ROUND((D42*(100%+$M$9))+E42,0)</f>
        <v>186698</v>
      </c>
      <c r="J42" s="107">
        <f t="shared" ref="J42:J64" si="13">ROUND((D42*(100%+$M$11))+E42,0)</f>
        <v>192720</v>
      </c>
    </row>
    <row r="43" spans="1:11" s="27" customFormat="1" ht="12.75" x14ac:dyDescent="0.2">
      <c r="A43" s="472" t="s">
        <v>608</v>
      </c>
      <c r="B43" s="106">
        <v>8</v>
      </c>
      <c r="C43" s="106">
        <v>9</v>
      </c>
      <c r="D43" s="107">
        <f t="shared" si="7"/>
        <v>124100</v>
      </c>
      <c r="E43" s="107">
        <f t="shared" si="8"/>
        <v>37230</v>
      </c>
      <c r="F43" s="107">
        <f t="shared" si="9"/>
        <v>161330</v>
      </c>
      <c r="G43" s="107">
        <f t="shared" si="10"/>
        <v>179945</v>
      </c>
      <c r="H43" s="107">
        <f t="shared" si="11"/>
        <v>186150</v>
      </c>
      <c r="I43" s="107">
        <f t="shared" si="12"/>
        <v>192355</v>
      </c>
      <c r="J43" s="107">
        <f t="shared" si="13"/>
        <v>198560</v>
      </c>
    </row>
    <row r="44" spans="1:11" s="27" customFormat="1" ht="12.75" x14ac:dyDescent="0.2">
      <c r="A44" s="472" t="s">
        <v>608</v>
      </c>
      <c r="B44" s="106">
        <v>8.5</v>
      </c>
      <c r="C44" s="106">
        <v>8.5</v>
      </c>
      <c r="D44" s="107">
        <f t="shared" si="7"/>
        <v>124100</v>
      </c>
      <c r="E44" s="107">
        <f t="shared" si="8"/>
        <v>37230</v>
      </c>
      <c r="F44" s="107">
        <f t="shared" si="9"/>
        <v>161330</v>
      </c>
      <c r="G44" s="107">
        <f t="shared" si="10"/>
        <v>179945</v>
      </c>
      <c r="H44" s="107">
        <f t="shared" si="11"/>
        <v>186150</v>
      </c>
      <c r="I44" s="107">
        <f t="shared" si="12"/>
        <v>192355</v>
      </c>
      <c r="J44" s="107">
        <f t="shared" si="13"/>
        <v>198560</v>
      </c>
    </row>
    <row r="45" spans="1:11" s="27" customFormat="1" ht="12.75" x14ac:dyDescent="0.2">
      <c r="A45" s="472" t="s">
        <v>608</v>
      </c>
      <c r="B45" s="106">
        <v>8.5</v>
      </c>
      <c r="C45" s="106">
        <v>9</v>
      </c>
      <c r="D45" s="107">
        <f t="shared" si="7"/>
        <v>127750</v>
      </c>
      <c r="E45" s="107">
        <f t="shared" si="8"/>
        <v>38325</v>
      </c>
      <c r="F45" s="107">
        <f t="shared" si="9"/>
        <v>166075</v>
      </c>
      <c r="G45" s="107">
        <f t="shared" si="10"/>
        <v>185238</v>
      </c>
      <c r="H45" s="107">
        <f t="shared" si="11"/>
        <v>191625</v>
      </c>
      <c r="I45" s="107">
        <f t="shared" si="12"/>
        <v>198013</v>
      </c>
      <c r="J45" s="107">
        <f t="shared" si="13"/>
        <v>204400</v>
      </c>
    </row>
    <row r="46" spans="1:11" s="27" customFormat="1" ht="12.75" x14ac:dyDescent="0.2">
      <c r="A46" s="472" t="s">
        <v>608</v>
      </c>
      <c r="B46" s="106">
        <v>8.75</v>
      </c>
      <c r="C46" s="106">
        <v>9</v>
      </c>
      <c r="D46" s="107">
        <f t="shared" si="7"/>
        <v>129575</v>
      </c>
      <c r="E46" s="107">
        <f t="shared" si="8"/>
        <v>38873</v>
      </c>
      <c r="F46" s="107">
        <f t="shared" si="9"/>
        <v>168448</v>
      </c>
      <c r="G46" s="107">
        <f t="shared" si="10"/>
        <v>187884</v>
      </c>
      <c r="H46" s="107">
        <f t="shared" si="11"/>
        <v>194363</v>
      </c>
      <c r="I46" s="107">
        <f t="shared" si="12"/>
        <v>200842</v>
      </c>
      <c r="J46" s="107">
        <f t="shared" si="13"/>
        <v>207321</v>
      </c>
    </row>
    <row r="47" spans="1:11" s="27" customFormat="1" ht="12.75" x14ac:dyDescent="0.2">
      <c r="A47" s="472" t="s">
        <v>608</v>
      </c>
      <c r="B47" s="106">
        <v>9</v>
      </c>
      <c r="C47" s="106">
        <v>9.25</v>
      </c>
      <c r="D47" s="107">
        <f t="shared" si="7"/>
        <v>133225</v>
      </c>
      <c r="E47" s="107">
        <f t="shared" si="8"/>
        <v>39968</v>
      </c>
      <c r="F47" s="107">
        <f t="shared" si="9"/>
        <v>173193</v>
      </c>
      <c r="G47" s="107">
        <f t="shared" si="10"/>
        <v>193177</v>
      </c>
      <c r="H47" s="107">
        <f t="shared" si="11"/>
        <v>199838</v>
      </c>
      <c r="I47" s="107">
        <f t="shared" si="12"/>
        <v>206499</v>
      </c>
      <c r="J47" s="107">
        <f t="shared" si="13"/>
        <v>213161</v>
      </c>
    </row>
    <row r="48" spans="1:11" s="27" customFormat="1" ht="12.75" x14ac:dyDescent="0.2">
      <c r="A48" s="472" t="s">
        <v>608</v>
      </c>
      <c r="B48" s="106">
        <v>8.5</v>
      </c>
      <c r="C48" s="106">
        <v>10</v>
      </c>
      <c r="D48" s="107">
        <f t="shared" si="7"/>
        <v>135050</v>
      </c>
      <c r="E48" s="107">
        <f t="shared" si="8"/>
        <v>40515</v>
      </c>
      <c r="F48" s="107">
        <f t="shared" si="9"/>
        <v>175565</v>
      </c>
      <c r="G48" s="107">
        <f t="shared" si="10"/>
        <v>195823</v>
      </c>
      <c r="H48" s="107">
        <f t="shared" si="11"/>
        <v>202575</v>
      </c>
      <c r="I48" s="107">
        <f t="shared" si="12"/>
        <v>209328</v>
      </c>
      <c r="J48" s="107">
        <f t="shared" si="13"/>
        <v>216080</v>
      </c>
    </row>
    <row r="49" spans="1:10" s="27" customFormat="1" ht="12.75" x14ac:dyDescent="0.2">
      <c r="A49" s="472" t="s">
        <v>607</v>
      </c>
      <c r="B49" s="106">
        <v>8.5</v>
      </c>
      <c r="C49" s="106">
        <v>11</v>
      </c>
      <c r="D49" s="107">
        <f t="shared" si="7"/>
        <v>142350</v>
      </c>
      <c r="E49" s="107">
        <f t="shared" si="8"/>
        <v>42705</v>
      </c>
      <c r="F49" s="107">
        <f t="shared" si="9"/>
        <v>185055</v>
      </c>
      <c r="G49" s="107">
        <f t="shared" si="10"/>
        <v>206408</v>
      </c>
      <c r="H49" s="107">
        <f t="shared" si="11"/>
        <v>213525</v>
      </c>
      <c r="I49" s="107">
        <f t="shared" si="12"/>
        <v>220643</v>
      </c>
      <c r="J49" s="107">
        <f t="shared" si="13"/>
        <v>227760</v>
      </c>
    </row>
    <row r="50" spans="1:10" s="27" customFormat="1" ht="12.75" x14ac:dyDescent="0.2">
      <c r="A50" s="472" t="s">
        <v>607</v>
      </c>
      <c r="B50" s="106">
        <v>8.75</v>
      </c>
      <c r="C50" s="106">
        <v>12</v>
      </c>
      <c r="D50" s="107">
        <f t="shared" si="7"/>
        <v>151475</v>
      </c>
      <c r="E50" s="107">
        <f t="shared" si="8"/>
        <v>45443</v>
      </c>
      <c r="F50" s="107">
        <f t="shared" si="9"/>
        <v>196918</v>
      </c>
      <c r="G50" s="107">
        <f t="shared" si="10"/>
        <v>219639</v>
      </c>
      <c r="H50" s="107">
        <f t="shared" si="11"/>
        <v>227213</v>
      </c>
      <c r="I50" s="107">
        <f t="shared" si="12"/>
        <v>234787</v>
      </c>
      <c r="J50" s="107">
        <f t="shared" si="13"/>
        <v>242361</v>
      </c>
    </row>
    <row r="51" spans="1:10" s="27" customFormat="1" ht="12.75" x14ac:dyDescent="0.2">
      <c r="A51" s="472" t="s">
        <v>607</v>
      </c>
      <c r="B51" s="106">
        <v>8.75</v>
      </c>
      <c r="C51" s="106">
        <v>13</v>
      </c>
      <c r="D51" s="107">
        <f t="shared" si="7"/>
        <v>158775</v>
      </c>
      <c r="E51" s="107">
        <f t="shared" si="8"/>
        <v>47633</v>
      </c>
      <c r="F51" s="107">
        <f t="shared" si="9"/>
        <v>206408</v>
      </c>
      <c r="G51" s="107">
        <f t="shared" si="10"/>
        <v>230224</v>
      </c>
      <c r="H51" s="107">
        <f t="shared" si="11"/>
        <v>238163</v>
      </c>
      <c r="I51" s="107">
        <f t="shared" si="12"/>
        <v>246102</v>
      </c>
      <c r="J51" s="107">
        <f t="shared" si="13"/>
        <v>254041</v>
      </c>
    </row>
    <row r="52" spans="1:10" s="27" customFormat="1" ht="12.75" x14ac:dyDescent="0.2">
      <c r="A52" s="472" t="s">
        <v>607</v>
      </c>
      <c r="B52" s="106">
        <v>9</v>
      </c>
      <c r="C52" s="106">
        <v>14</v>
      </c>
      <c r="D52" s="107">
        <f t="shared" si="7"/>
        <v>167900</v>
      </c>
      <c r="E52" s="107">
        <f t="shared" si="8"/>
        <v>50370</v>
      </c>
      <c r="F52" s="107">
        <f t="shared" si="9"/>
        <v>218270</v>
      </c>
      <c r="G52" s="107">
        <f t="shared" si="10"/>
        <v>243455</v>
      </c>
      <c r="H52" s="107">
        <f t="shared" si="11"/>
        <v>251850</v>
      </c>
      <c r="I52" s="107">
        <f t="shared" si="12"/>
        <v>260245</v>
      </c>
      <c r="J52" s="107">
        <f t="shared" si="13"/>
        <v>268640</v>
      </c>
    </row>
    <row r="53" spans="1:10" s="27" customFormat="1" ht="12.75" x14ac:dyDescent="0.2">
      <c r="A53" s="472" t="s">
        <v>607</v>
      </c>
      <c r="B53" s="106">
        <v>9.5</v>
      </c>
      <c r="C53" s="106">
        <v>15</v>
      </c>
      <c r="D53" s="107">
        <f t="shared" si="7"/>
        <v>178850</v>
      </c>
      <c r="E53" s="107">
        <f t="shared" si="8"/>
        <v>53655</v>
      </c>
      <c r="F53" s="107">
        <f t="shared" si="9"/>
        <v>232505</v>
      </c>
      <c r="G53" s="107">
        <f t="shared" si="10"/>
        <v>259333</v>
      </c>
      <c r="H53" s="107">
        <f t="shared" si="11"/>
        <v>268275</v>
      </c>
      <c r="I53" s="107">
        <f t="shared" si="12"/>
        <v>277218</v>
      </c>
      <c r="J53" s="107">
        <f t="shared" si="13"/>
        <v>286160</v>
      </c>
    </row>
    <row r="54" spans="1:10" s="27" customFormat="1" ht="12.75" x14ac:dyDescent="0.2">
      <c r="A54" s="472" t="s">
        <v>607</v>
      </c>
      <c r="B54" s="106">
        <v>10</v>
      </c>
      <c r="C54" s="106">
        <v>15</v>
      </c>
      <c r="D54" s="107">
        <f t="shared" si="7"/>
        <v>182500</v>
      </c>
      <c r="E54" s="107">
        <f t="shared" si="8"/>
        <v>54750</v>
      </c>
      <c r="F54" s="107">
        <f t="shared" si="9"/>
        <v>237250</v>
      </c>
      <c r="G54" s="107">
        <f t="shared" si="10"/>
        <v>264625</v>
      </c>
      <c r="H54" s="107">
        <f t="shared" si="11"/>
        <v>273750</v>
      </c>
      <c r="I54" s="107">
        <f t="shared" si="12"/>
        <v>282875</v>
      </c>
      <c r="J54" s="107">
        <f t="shared" si="13"/>
        <v>292000</v>
      </c>
    </row>
    <row r="55" spans="1:10" s="27" customFormat="1" ht="12.75" x14ac:dyDescent="0.2">
      <c r="A55" s="472" t="s">
        <v>607</v>
      </c>
      <c r="B55" s="106">
        <v>11</v>
      </c>
      <c r="C55" s="106">
        <v>16</v>
      </c>
      <c r="D55" s="107">
        <f t="shared" si="7"/>
        <v>197100</v>
      </c>
      <c r="E55" s="107">
        <f t="shared" si="8"/>
        <v>59130</v>
      </c>
      <c r="F55" s="107">
        <f t="shared" si="9"/>
        <v>256230</v>
      </c>
      <c r="G55" s="107">
        <f t="shared" si="10"/>
        <v>285795</v>
      </c>
      <c r="H55" s="107">
        <f t="shared" si="11"/>
        <v>295650</v>
      </c>
      <c r="I55" s="107">
        <f t="shared" si="12"/>
        <v>305505</v>
      </c>
      <c r="J55" s="107">
        <f t="shared" si="13"/>
        <v>315360</v>
      </c>
    </row>
    <row r="56" spans="1:10" s="27" customFormat="1" ht="12.75" x14ac:dyDescent="0.2">
      <c r="A56" s="472" t="s">
        <v>607</v>
      </c>
      <c r="B56" s="106">
        <v>8.5</v>
      </c>
      <c r="C56" s="106">
        <v>10.5</v>
      </c>
      <c r="D56" s="107">
        <f t="shared" si="7"/>
        <v>138700</v>
      </c>
      <c r="E56" s="107">
        <f t="shared" si="8"/>
        <v>41610</v>
      </c>
      <c r="F56" s="107">
        <f t="shared" si="9"/>
        <v>180310</v>
      </c>
      <c r="G56" s="107">
        <f t="shared" si="10"/>
        <v>201115</v>
      </c>
      <c r="H56" s="107">
        <f t="shared" si="11"/>
        <v>208050</v>
      </c>
      <c r="I56" s="107">
        <f t="shared" si="12"/>
        <v>214985</v>
      </c>
      <c r="J56" s="107">
        <f t="shared" si="13"/>
        <v>221920</v>
      </c>
    </row>
    <row r="57" spans="1:10" s="27" customFormat="1" ht="12.75" x14ac:dyDescent="0.2">
      <c r="A57" s="472" t="s">
        <v>600</v>
      </c>
      <c r="B57" s="106">
        <v>8.5</v>
      </c>
      <c r="C57" s="106">
        <v>11</v>
      </c>
      <c r="D57" s="107">
        <f t="shared" si="7"/>
        <v>142350</v>
      </c>
      <c r="E57" s="107">
        <f t="shared" si="8"/>
        <v>42705</v>
      </c>
      <c r="F57" s="107">
        <f t="shared" si="9"/>
        <v>185055</v>
      </c>
      <c r="G57" s="107">
        <f t="shared" si="10"/>
        <v>206408</v>
      </c>
      <c r="H57" s="107">
        <f t="shared" si="11"/>
        <v>213525</v>
      </c>
      <c r="I57" s="107">
        <f t="shared" si="12"/>
        <v>220643</v>
      </c>
      <c r="J57" s="107">
        <f t="shared" si="13"/>
        <v>227760</v>
      </c>
    </row>
    <row r="58" spans="1:10" s="27" customFormat="1" ht="12.75" x14ac:dyDescent="0.2">
      <c r="A58" s="472" t="s">
        <v>600</v>
      </c>
      <c r="B58" s="106">
        <v>9</v>
      </c>
      <c r="C58" s="106">
        <v>11</v>
      </c>
      <c r="D58" s="107">
        <f t="shared" si="7"/>
        <v>146000</v>
      </c>
      <c r="E58" s="107">
        <f t="shared" si="8"/>
        <v>43800</v>
      </c>
      <c r="F58" s="107">
        <f t="shared" si="9"/>
        <v>189800</v>
      </c>
      <c r="G58" s="107">
        <f t="shared" si="10"/>
        <v>211700</v>
      </c>
      <c r="H58" s="107">
        <f t="shared" si="11"/>
        <v>219000</v>
      </c>
      <c r="I58" s="107">
        <f t="shared" si="12"/>
        <v>226300</v>
      </c>
      <c r="J58" s="107">
        <f t="shared" si="13"/>
        <v>233600</v>
      </c>
    </row>
    <row r="59" spans="1:10" s="27" customFormat="1" ht="12.75" x14ac:dyDescent="0.2">
      <c r="A59" s="472" t="s">
        <v>600</v>
      </c>
      <c r="B59" s="106">
        <v>9.5</v>
      </c>
      <c r="C59" s="106">
        <v>12</v>
      </c>
      <c r="D59" s="107">
        <f t="shared" si="7"/>
        <v>156950</v>
      </c>
      <c r="E59" s="107">
        <f t="shared" si="8"/>
        <v>47085</v>
      </c>
      <c r="F59" s="107">
        <f t="shared" si="9"/>
        <v>204035</v>
      </c>
      <c r="G59" s="107">
        <f t="shared" si="10"/>
        <v>227578</v>
      </c>
      <c r="H59" s="107">
        <f t="shared" si="11"/>
        <v>235425</v>
      </c>
      <c r="I59" s="107">
        <f t="shared" si="12"/>
        <v>243273</v>
      </c>
      <c r="J59" s="107">
        <f t="shared" si="13"/>
        <v>251120</v>
      </c>
    </row>
    <row r="60" spans="1:10" s="27" customFormat="1" ht="12.75" x14ac:dyDescent="0.2">
      <c r="A60" s="472" t="s">
        <v>600</v>
      </c>
      <c r="B60" s="106">
        <v>9.75</v>
      </c>
      <c r="C60" s="106">
        <v>13</v>
      </c>
      <c r="D60" s="107">
        <f t="shared" si="7"/>
        <v>166075</v>
      </c>
      <c r="E60" s="107">
        <f t="shared" si="8"/>
        <v>49823</v>
      </c>
      <c r="F60" s="107">
        <f t="shared" si="9"/>
        <v>215898</v>
      </c>
      <c r="G60" s="107">
        <f t="shared" si="10"/>
        <v>240809</v>
      </c>
      <c r="H60" s="107">
        <f t="shared" si="11"/>
        <v>249113</v>
      </c>
      <c r="I60" s="107">
        <f t="shared" si="12"/>
        <v>257417</v>
      </c>
      <c r="J60" s="107">
        <f t="shared" si="13"/>
        <v>265721</v>
      </c>
    </row>
    <row r="61" spans="1:10" s="27" customFormat="1" ht="12.75" x14ac:dyDescent="0.2">
      <c r="A61" s="472" t="s">
        <v>600</v>
      </c>
      <c r="B61" s="106">
        <v>10</v>
      </c>
      <c r="C61" s="106">
        <v>14</v>
      </c>
      <c r="D61" s="107">
        <f t="shared" si="7"/>
        <v>175200</v>
      </c>
      <c r="E61" s="107">
        <f t="shared" si="8"/>
        <v>52560</v>
      </c>
      <c r="F61" s="107">
        <f t="shared" si="9"/>
        <v>227760</v>
      </c>
      <c r="G61" s="107">
        <f t="shared" si="10"/>
        <v>254040</v>
      </c>
      <c r="H61" s="107">
        <f t="shared" si="11"/>
        <v>262800</v>
      </c>
      <c r="I61" s="107">
        <f t="shared" si="12"/>
        <v>271560</v>
      </c>
      <c r="J61" s="107">
        <f t="shared" si="13"/>
        <v>280320</v>
      </c>
    </row>
    <row r="62" spans="1:10" s="27" customFormat="1" ht="12.75" x14ac:dyDescent="0.2">
      <c r="A62" s="472" t="s">
        <v>600</v>
      </c>
      <c r="B62" s="106">
        <v>10.5</v>
      </c>
      <c r="C62" s="106">
        <v>15</v>
      </c>
      <c r="D62" s="107">
        <f t="shared" si="7"/>
        <v>186150</v>
      </c>
      <c r="E62" s="107">
        <f t="shared" si="8"/>
        <v>55845</v>
      </c>
      <c r="F62" s="107">
        <f t="shared" si="9"/>
        <v>241995</v>
      </c>
      <c r="G62" s="107">
        <f t="shared" si="10"/>
        <v>269918</v>
      </c>
      <c r="H62" s="107">
        <f t="shared" si="11"/>
        <v>279225</v>
      </c>
      <c r="I62" s="107">
        <f t="shared" si="12"/>
        <v>288533</v>
      </c>
      <c r="J62" s="107">
        <f t="shared" si="13"/>
        <v>297840</v>
      </c>
    </row>
    <row r="63" spans="1:10" s="27" customFormat="1" ht="12.75" x14ac:dyDescent="0.2">
      <c r="A63" s="472" t="s">
        <v>600</v>
      </c>
      <c r="B63" s="106">
        <v>11</v>
      </c>
      <c r="C63" s="106">
        <v>16</v>
      </c>
      <c r="D63" s="107">
        <f t="shared" si="7"/>
        <v>197100</v>
      </c>
      <c r="E63" s="107">
        <f t="shared" si="8"/>
        <v>59130</v>
      </c>
      <c r="F63" s="107">
        <f t="shared" si="9"/>
        <v>256230</v>
      </c>
      <c r="G63" s="107">
        <f t="shared" si="10"/>
        <v>285795</v>
      </c>
      <c r="H63" s="107">
        <f t="shared" si="11"/>
        <v>295650</v>
      </c>
      <c r="I63" s="107">
        <f t="shared" si="12"/>
        <v>305505</v>
      </c>
      <c r="J63" s="107">
        <f t="shared" si="13"/>
        <v>315360</v>
      </c>
    </row>
    <row r="64" spans="1:10" s="27" customFormat="1" ht="12.75" x14ac:dyDescent="0.2">
      <c r="A64" s="472" t="s">
        <v>600</v>
      </c>
      <c r="B64" s="106">
        <v>12</v>
      </c>
      <c r="C64" s="106">
        <v>17</v>
      </c>
      <c r="D64" s="107">
        <f t="shared" si="7"/>
        <v>211700</v>
      </c>
      <c r="E64" s="107">
        <f t="shared" si="8"/>
        <v>63510</v>
      </c>
      <c r="F64" s="107">
        <f t="shared" si="9"/>
        <v>275210</v>
      </c>
      <c r="G64" s="107">
        <f t="shared" si="10"/>
        <v>306965</v>
      </c>
      <c r="H64" s="107">
        <f t="shared" si="11"/>
        <v>317550</v>
      </c>
      <c r="I64" s="107">
        <f t="shared" si="12"/>
        <v>328135</v>
      </c>
      <c r="J64" s="107">
        <f t="shared" si="13"/>
        <v>338720</v>
      </c>
    </row>
    <row r="65" spans="1:10" s="27" customFormat="1" ht="12.75" x14ac:dyDescent="0.2">
      <c r="A65" s="32"/>
      <c r="B65" s="108"/>
      <c r="C65" s="108"/>
      <c r="D65" s="109"/>
      <c r="E65" s="109"/>
      <c r="F65" s="109"/>
      <c r="G65" s="109"/>
      <c r="H65" s="109"/>
      <c r="I65" s="109"/>
      <c r="J65" s="32"/>
    </row>
    <row r="68" spans="1:10" x14ac:dyDescent="0.25">
      <c r="H68" s="480">
        <f>H48-F48</f>
        <v>27010</v>
      </c>
    </row>
  </sheetData>
  <mergeCells count="7">
    <mergeCell ref="G37:J37"/>
    <mergeCell ref="A1:J1"/>
    <mergeCell ref="A2:J2"/>
    <mergeCell ref="A3:J3"/>
    <mergeCell ref="A34:J34"/>
    <mergeCell ref="A35:J35"/>
    <mergeCell ref="A36:J36"/>
  </mergeCells>
  <printOptions horizontalCentered="1"/>
  <pageMargins left="0.4" right="0.4" top="0.4" bottom="0.4" header="0.3" footer="0.3"/>
  <pageSetup orientation="landscape" horizontalDpi="1200" verticalDpi="1200" r:id="rId1"/>
  <rowBreaks count="1" manualBreakCount="1">
    <brk id="33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Normal="100" zoomScaleSheetLayoutView="100" workbookViewId="0">
      <selection activeCell="E18" sqref="E18"/>
    </sheetView>
  </sheetViews>
  <sheetFormatPr defaultColWidth="9.140625" defaultRowHeight="15" x14ac:dyDescent="0.25"/>
  <cols>
    <col min="1" max="11" width="10.42578125" style="1" customWidth="1"/>
    <col min="12" max="16384" width="9.140625" style="1"/>
  </cols>
  <sheetData>
    <row r="1" spans="1:14" ht="15.75" x14ac:dyDescent="0.25">
      <c r="A1" s="523" t="s">
        <v>0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</row>
    <row r="3" spans="1:14" ht="15.75" x14ac:dyDescent="0.25">
      <c r="A3" s="2" t="s">
        <v>1</v>
      </c>
      <c r="B3" s="524" t="s">
        <v>2</v>
      </c>
      <c r="C3" s="525"/>
      <c r="D3" s="525"/>
      <c r="E3" s="525"/>
      <c r="F3" s="525"/>
      <c r="G3" s="525"/>
      <c r="H3" s="525"/>
      <c r="I3" s="525"/>
      <c r="J3" s="525"/>
      <c r="K3" s="525"/>
    </row>
    <row r="4" spans="1:14" ht="15.75" x14ac:dyDescent="0.25">
      <c r="A4" s="3" t="s">
        <v>3</v>
      </c>
      <c r="B4" s="4">
        <v>3</v>
      </c>
      <c r="C4" s="5">
        <v>5</v>
      </c>
      <c r="D4" s="5">
        <v>7</v>
      </c>
      <c r="E4" s="6">
        <v>10</v>
      </c>
      <c r="F4" s="6">
        <v>15</v>
      </c>
      <c r="G4" s="6">
        <v>20</v>
      </c>
      <c r="H4" s="6">
        <v>25</v>
      </c>
      <c r="I4" s="6">
        <v>30</v>
      </c>
      <c r="J4" s="6">
        <v>35</v>
      </c>
      <c r="K4" s="6">
        <v>40</v>
      </c>
    </row>
    <row r="5" spans="1:14" ht="15.75" x14ac:dyDescent="0.25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</row>
    <row r="6" spans="1:14" x14ac:dyDescent="0.25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</row>
    <row r="7" spans="1:14" ht="15.75" x14ac:dyDescent="0.25">
      <c r="A7" s="13">
        <v>5</v>
      </c>
      <c r="B7" s="14">
        <v>0.36721500000000001</v>
      </c>
      <c r="C7" s="15">
        <v>0.23097400000000001</v>
      </c>
      <c r="D7" s="15">
        <v>0.172819</v>
      </c>
      <c r="E7" s="15">
        <v>0.12950500000000001</v>
      </c>
      <c r="F7" s="15">
        <v>9.6341999999999997E-2</v>
      </c>
      <c r="G7" s="15">
        <v>8.0242999999999995E-2</v>
      </c>
      <c r="H7" s="15">
        <v>7.0953000000000002E-2</v>
      </c>
      <c r="I7" s="15">
        <v>6.5050999999999998E-2</v>
      </c>
      <c r="J7" s="15">
        <v>6.1072000000000001E-2</v>
      </c>
      <c r="K7" s="15">
        <v>5.8278000000000003E-2</v>
      </c>
    </row>
    <row r="8" spans="1:14" ht="15.75" x14ac:dyDescent="0.25">
      <c r="A8" s="13">
        <v>6</v>
      </c>
      <c r="B8" s="14">
        <v>0.37411100000000003</v>
      </c>
      <c r="C8" s="15">
        <v>0.23739399999999999</v>
      </c>
      <c r="D8" s="15">
        <v>0.17913399999999999</v>
      </c>
      <c r="E8" s="15">
        <v>0.13586799999999999</v>
      </c>
      <c r="F8" s="15">
        <v>0.102963</v>
      </c>
      <c r="G8" s="15">
        <v>8.7184999999999999E-2</v>
      </c>
      <c r="H8" s="15">
        <v>7.8226000000000004E-2</v>
      </c>
      <c r="I8" s="15">
        <v>7.2649000000000005E-2</v>
      </c>
      <c r="J8" s="15">
        <v>6.8973999999999994E-2</v>
      </c>
      <c r="K8" s="15">
        <v>6.6461999999999993E-2</v>
      </c>
    </row>
    <row r="9" spans="1:14" ht="15.75" x14ac:dyDescent="0.25">
      <c r="A9" s="13">
        <v>7</v>
      </c>
      <c r="B9" s="14">
        <v>0.381054</v>
      </c>
      <c r="C9" s="15">
        <v>0.243891</v>
      </c>
      <c r="D9" s="15">
        <v>0.185553</v>
      </c>
      <c r="E9" s="15">
        <v>0.142377</v>
      </c>
      <c r="F9" s="15">
        <v>0.109795</v>
      </c>
      <c r="G9" s="15">
        <v>9.4393000000000005E-2</v>
      </c>
      <c r="H9" s="15">
        <v>8.5809999999999997E-2</v>
      </c>
      <c r="I9" s="15">
        <v>8.0587000000000006E-2</v>
      </c>
      <c r="J9" s="15">
        <v>7.7233999999999997E-2</v>
      </c>
      <c r="K9" s="15">
        <v>7.5009000000000006E-2</v>
      </c>
    </row>
    <row r="10" spans="1:14" ht="15.75" x14ac:dyDescent="0.25">
      <c r="A10" s="13">
        <v>8</v>
      </c>
      <c r="B10" s="14">
        <v>0.38803399999999999</v>
      </c>
      <c r="C10" s="15">
        <v>0.25045600000000001</v>
      </c>
      <c r="D10" s="15">
        <v>0.19207199999999999</v>
      </c>
      <c r="E10" s="15">
        <v>0.14903</v>
      </c>
      <c r="F10" s="15">
        <v>0.11683</v>
      </c>
      <c r="G10" s="15">
        <v>0.10185</v>
      </c>
      <c r="H10" s="15">
        <v>9.3678999999999998E-2</v>
      </c>
      <c r="I10" s="15">
        <v>8.8827000000000003E-2</v>
      </c>
      <c r="J10" s="15">
        <v>8.5803000000000004E-2</v>
      </c>
      <c r="K10" s="15">
        <v>8.3860000000000004E-2</v>
      </c>
    </row>
    <row r="11" spans="1:14" ht="15.75" x14ac:dyDescent="0.25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</row>
    <row r="12" spans="1:14" ht="15.75" x14ac:dyDescent="0.25">
      <c r="A12" s="13">
        <v>9</v>
      </c>
      <c r="B12" s="14">
        <v>0.39505499999999999</v>
      </c>
      <c r="C12" s="15">
        <v>0.25709199999999999</v>
      </c>
      <c r="D12" s="15">
        <v>0.19869100000000001</v>
      </c>
      <c r="E12" s="15">
        <v>0.15581999999999999</v>
      </c>
      <c r="F12" s="15">
        <v>0.124059</v>
      </c>
      <c r="G12" s="15">
        <v>0.109546</v>
      </c>
      <c r="H12" s="15">
        <v>0.10180599999999999</v>
      </c>
      <c r="I12" s="15">
        <v>9.7336000000000006E-2</v>
      </c>
      <c r="J12" s="15">
        <v>9.4635999999999998E-2</v>
      </c>
      <c r="K12" s="15">
        <v>9.2960000000000001E-2</v>
      </c>
    </row>
    <row r="13" spans="1:14" ht="15.75" x14ac:dyDescent="0.25">
      <c r="A13" s="13">
        <v>10</v>
      </c>
      <c r="B13" s="14">
        <v>0.402115</v>
      </c>
      <c r="C13" s="15">
        <v>0.263797</v>
      </c>
      <c r="D13" s="15">
        <v>0.205405</v>
      </c>
      <c r="E13" s="15">
        <v>0.162745</v>
      </c>
      <c r="F13" s="15">
        <v>0.13147400000000001</v>
      </c>
      <c r="G13" s="15">
        <v>0.11745999999999999</v>
      </c>
      <c r="H13" s="15">
        <v>0.110168</v>
      </c>
      <c r="I13" s="15">
        <v>0.10607900000000001</v>
      </c>
      <c r="J13" s="15">
        <v>0.10369</v>
      </c>
      <c r="K13" s="15">
        <v>0.102259</v>
      </c>
      <c r="M13" s="1">
        <v>90000</v>
      </c>
      <c r="N13" s="1">
        <f>I9*M13</f>
        <v>7252.8300000000008</v>
      </c>
    </row>
    <row r="14" spans="1:14" ht="15.75" x14ac:dyDescent="0.25">
      <c r="A14" s="13">
        <v>11</v>
      </c>
      <c r="B14" s="14">
        <v>0.40921299999999999</v>
      </c>
      <c r="C14" s="15">
        <v>0.27056999999999998</v>
      </c>
      <c r="D14" s="15">
        <v>0.21221499999999999</v>
      </c>
      <c r="E14" s="15">
        <v>0.16980100000000001</v>
      </c>
      <c r="F14" s="15">
        <v>0.13906499999999999</v>
      </c>
      <c r="G14" s="15">
        <v>0.12557599999999999</v>
      </c>
      <c r="H14" s="15">
        <v>0.11874</v>
      </c>
      <c r="I14" s="15">
        <v>0.115025</v>
      </c>
      <c r="J14" s="15">
        <v>0.112927</v>
      </c>
      <c r="K14" s="15">
        <v>0.111719</v>
      </c>
    </row>
    <row r="15" spans="1:14" ht="15.75" x14ac:dyDescent="0.25">
      <c r="A15" s="13">
        <v>12</v>
      </c>
      <c r="B15" s="14">
        <v>0.41634900000000002</v>
      </c>
      <c r="C15" s="15">
        <v>0.27740999999999999</v>
      </c>
      <c r="D15" s="15">
        <v>0.21911800000000001</v>
      </c>
      <c r="E15" s="15">
        <v>0.176984</v>
      </c>
      <c r="F15" s="15">
        <v>0.14682400000000001</v>
      </c>
      <c r="G15" s="15">
        <v>0.133879</v>
      </c>
      <c r="H15" s="15">
        <v>0.1275</v>
      </c>
      <c r="I15" s="15">
        <v>0.124144</v>
      </c>
      <c r="J15" s="15">
        <v>0.122317</v>
      </c>
      <c r="K15" s="15">
        <v>0.121304</v>
      </c>
    </row>
    <row r="16" spans="1:14" ht="15.75" x14ac:dyDescent="0.2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5.75" x14ac:dyDescent="0.25">
      <c r="A17" s="13">
        <v>13</v>
      </c>
      <c r="B17" s="14">
        <v>0.42352200000000001</v>
      </c>
      <c r="C17" s="15">
        <v>0.28431400000000001</v>
      </c>
      <c r="D17" s="15">
        <v>0.22611100000000001</v>
      </c>
      <c r="E17" s="15">
        <v>0.18429000000000001</v>
      </c>
      <c r="F17" s="15">
        <v>0.15474199999999999</v>
      </c>
      <c r="G17" s="15">
        <v>0.14235400000000001</v>
      </c>
      <c r="H17" s="15">
        <v>0.13642599999999999</v>
      </c>
      <c r="I17" s="15">
        <v>0.133411</v>
      </c>
      <c r="J17" s="15">
        <v>0.131829</v>
      </c>
      <c r="K17" s="15">
        <v>0.13098599999999999</v>
      </c>
    </row>
    <row r="18" spans="1:11" ht="15.75" x14ac:dyDescent="0.25">
      <c r="A18" s="13">
        <v>14</v>
      </c>
      <c r="B18" s="14">
        <v>0.43073099999999998</v>
      </c>
      <c r="C18" s="15">
        <v>0.29128399999999999</v>
      </c>
      <c r="D18" s="15">
        <v>0.23319200000000001</v>
      </c>
      <c r="E18" s="15">
        <v>0.191714</v>
      </c>
      <c r="F18" s="15">
        <v>0.16280900000000001</v>
      </c>
      <c r="G18" s="15">
        <v>0.15098600000000001</v>
      </c>
      <c r="H18" s="15">
        <v>0.14549799999999999</v>
      </c>
      <c r="I18" s="15">
        <v>0.14280300000000001</v>
      </c>
      <c r="J18" s="15">
        <v>0.14144200000000001</v>
      </c>
      <c r="K18" s="15">
        <v>0.14074500000000001</v>
      </c>
    </row>
    <row r="19" spans="1:11" ht="15.75" x14ac:dyDescent="0.25">
      <c r="A19" s="13">
        <v>15</v>
      </c>
      <c r="B19" s="14">
        <v>0.43797599999999998</v>
      </c>
      <c r="C19" s="15">
        <v>0.298315</v>
      </c>
      <c r="D19" s="15">
        <v>0.24035999999999999</v>
      </c>
      <c r="E19" s="15">
        <v>0.19925200000000001</v>
      </c>
      <c r="F19" s="15">
        <v>0.171017</v>
      </c>
      <c r="G19" s="15">
        <v>0.15976099999999999</v>
      </c>
      <c r="H19" s="15">
        <v>0.154699</v>
      </c>
      <c r="I19" s="15">
        <v>0.15229999999999999</v>
      </c>
      <c r="J19" s="15">
        <v>0.15113499999999999</v>
      </c>
      <c r="K19" s="15">
        <v>0.150562</v>
      </c>
    </row>
    <row r="20" spans="1:11" ht="15.75" x14ac:dyDescent="0.25">
      <c r="A20" s="13">
        <v>16</v>
      </c>
      <c r="B20" s="14">
        <v>0.44525700000000001</v>
      </c>
      <c r="C20" s="15">
        <v>0.30540899999999999</v>
      </c>
      <c r="D20" s="15">
        <v>0.247613</v>
      </c>
      <c r="E20" s="15">
        <v>0.206901</v>
      </c>
      <c r="F20" s="15">
        <v>0.17935799999999999</v>
      </c>
      <c r="G20" s="15">
        <v>0.16866700000000001</v>
      </c>
      <c r="H20" s="15">
        <v>0.16401299999999999</v>
      </c>
      <c r="I20" s="15">
        <v>0.161886</v>
      </c>
      <c r="J20" s="15">
        <v>0.16089200000000001</v>
      </c>
      <c r="K20" s="15">
        <v>0.16042400000000001</v>
      </c>
    </row>
    <row r="21" spans="1:11" ht="15.75" x14ac:dyDescent="0.2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5.75" x14ac:dyDescent="0.25">
      <c r="A22" s="13">
        <v>17</v>
      </c>
      <c r="B22" s="14">
        <v>0.452573</v>
      </c>
      <c r="C22" s="15">
        <v>0.31256400000000001</v>
      </c>
      <c r="D22" s="15">
        <v>0.25494699999999998</v>
      </c>
      <c r="E22" s="15">
        <v>0.21465699999999999</v>
      </c>
      <c r="F22" s="15">
        <v>0.18782199999999999</v>
      </c>
      <c r="G22" s="15">
        <v>0.17768999999999999</v>
      </c>
      <c r="H22" s="15">
        <v>0.17342299999999999</v>
      </c>
      <c r="I22" s="15">
        <v>0.171545</v>
      </c>
      <c r="J22" s="15">
        <v>0.17070099999999999</v>
      </c>
      <c r="K22" s="15">
        <v>0.170319</v>
      </c>
    </row>
    <row r="23" spans="1:11" ht="15.75" x14ac:dyDescent="0.25">
      <c r="A23" s="13">
        <v>18</v>
      </c>
      <c r="B23" s="14">
        <v>0.45992300000000003</v>
      </c>
      <c r="C23" s="15">
        <v>0.31977800000000001</v>
      </c>
      <c r="D23" s="15">
        <v>0.26236199999999998</v>
      </c>
      <c r="E23" s="15">
        <v>0.22251499999999999</v>
      </c>
      <c r="F23" s="15">
        <v>0.19640299999999999</v>
      </c>
      <c r="G23" s="15">
        <v>0.18682000000000001</v>
      </c>
      <c r="H23" s="15">
        <v>0.182919</v>
      </c>
      <c r="I23" s="15">
        <v>0.18126400000000001</v>
      </c>
      <c r="J23" s="15">
        <v>0.18054999999999999</v>
      </c>
      <c r="K23" s="15">
        <v>0.18024000000000001</v>
      </c>
    </row>
    <row r="24" spans="1:11" ht="15.75" x14ac:dyDescent="0.25">
      <c r="A24" s="13">
        <v>19</v>
      </c>
      <c r="B24" s="14">
        <v>0.467308</v>
      </c>
      <c r="C24" s="15">
        <v>0.32705000000000001</v>
      </c>
      <c r="D24" s="15">
        <v>0.26985500000000001</v>
      </c>
      <c r="E24" s="15">
        <v>0.23047100000000001</v>
      </c>
      <c r="F24" s="15">
        <v>0.205092</v>
      </c>
      <c r="G24" s="15">
        <v>0.196045</v>
      </c>
      <c r="H24" s="15">
        <v>0.19248699999999999</v>
      </c>
      <c r="I24" s="15">
        <v>0.19103400000000001</v>
      </c>
      <c r="J24" s="15">
        <v>0.19043199999999999</v>
      </c>
      <c r="K24" s="15">
        <v>0.19018099999999999</v>
      </c>
    </row>
    <row r="25" spans="1:11" ht="15.75" x14ac:dyDescent="0.25">
      <c r="A25" s="16">
        <v>20</v>
      </c>
      <c r="B25" s="14">
        <v>0.47472500000000001</v>
      </c>
      <c r="C25" s="15">
        <v>0.33438000000000001</v>
      </c>
      <c r="D25" s="15">
        <v>0.277424</v>
      </c>
      <c r="E25" s="15">
        <v>0.23852300000000001</v>
      </c>
      <c r="F25" s="15">
        <v>0.21388199999999999</v>
      </c>
      <c r="G25" s="15">
        <v>0.20535700000000001</v>
      </c>
      <c r="H25" s="15">
        <v>0.20211899999999999</v>
      </c>
      <c r="I25" s="15">
        <v>0.200846</v>
      </c>
      <c r="J25" s="15">
        <v>0.20033899999999999</v>
      </c>
      <c r="K25" s="15">
        <v>0.20013600000000001</v>
      </c>
    </row>
    <row r="26" spans="1:11" s="12" customFormat="1" ht="15.75" x14ac:dyDescent="0.25">
      <c r="A26" s="17"/>
      <c r="B26" s="18"/>
      <c r="C26" s="19"/>
      <c r="D26" s="19"/>
      <c r="E26" s="19"/>
      <c r="F26" s="19"/>
      <c r="G26" s="19"/>
      <c r="H26" s="19"/>
      <c r="I26" s="19"/>
      <c r="J26" s="19"/>
      <c r="K26" s="19"/>
    </row>
    <row r="27" spans="1:11" ht="15.75" x14ac:dyDescent="0.25">
      <c r="A27" s="3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15.75" x14ac:dyDescent="0.25">
      <c r="A28" s="21" t="s">
        <v>5</v>
      </c>
      <c r="F28" s="22" t="s">
        <v>6</v>
      </c>
      <c r="H28" s="23" t="s">
        <v>7</v>
      </c>
      <c r="I28" s="24" t="s">
        <v>8</v>
      </c>
    </row>
    <row r="29" spans="1:11" ht="18.75" x14ac:dyDescent="0.25">
      <c r="A29" s="21" t="s">
        <v>9</v>
      </c>
      <c r="I29" s="25" t="s">
        <v>10</v>
      </c>
    </row>
  </sheetData>
  <sheetProtection sheet="1" objects="1" scenarios="1"/>
  <mergeCells count="2">
    <mergeCell ref="A1:K1"/>
    <mergeCell ref="B3:K3"/>
  </mergeCells>
  <printOptions horizontalCentered="1"/>
  <pageMargins left="0.7" right="0.7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view="pageBreakPreview" zoomScale="90" zoomScaleNormal="100" zoomScaleSheetLayoutView="90" workbookViewId="0">
      <selection activeCell="F26" sqref="F26:F27"/>
    </sheetView>
  </sheetViews>
  <sheetFormatPr defaultColWidth="9.140625" defaultRowHeight="12.75" x14ac:dyDescent="0.2"/>
  <cols>
    <col min="1" max="1" width="9.85546875" style="27" customWidth="1"/>
    <col min="2" max="2" width="29" style="27" customWidth="1"/>
    <col min="3" max="3" width="13.140625" style="27" customWidth="1"/>
    <col min="4" max="4" width="14.28515625" style="27" customWidth="1"/>
    <col min="5" max="5" width="22.140625" style="27" customWidth="1"/>
    <col min="6" max="16384" width="9.140625" style="27"/>
  </cols>
  <sheetData>
    <row r="1" spans="1:5" x14ac:dyDescent="0.2">
      <c r="A1" s="64" t="s">
        <v>280</v>
      </c>
    </row>
    <row r="2" spans="1:5" ht="13.5" thickBot="1" x14ac:dyDescent="0.25">
      <c r="A2" s="63"/>
    </row>
    <row r="3" spans="1:5" ht="14.25" thickTop="1" thickBot="1" x14ac:dyDescent="0.25">
      <c r="A3" s="527" t="s">
        <v>379</v>
      </c>
      <c r="B3" s="528"/>
      <c r="C3" s="528"/>
      <c r="D3" s="528"/>
      <c r="E3" s="529"/>
    </row>
    <row r="4" spans="1:5" ht="25.5" x14ac:dyDescent="0.2">
      <c r="A4" s="530" t="s">
        <v>378</v>
      </c>
      <c r="B4" s="530" t="s">
        <v>377</v>
      </c>
      <c r="C4" s="530" t="s">
        <v>376</v>
      </c>
      <c r="D4" s="62" t="s">
        <v>375</v>
      </c>
      <c r="E4" s="62" t="s">
        <v>374</v>
      </c>
    </row>
    <row r="5" spans="1:5" ht="13.5" thickBot="1" x14ac:dyDescent="0.25">
      <c r="A5" s="531"/>
      <c r="B5" s="531"/>
      <c r="C5" s="531"/>
      <c r="D5" s="61" t="s">
        <v>373</v>
      </c>
      <c r="E5" s="61" t="s">
        <v>372</v>
      </c>
    </row>
    <row r="6" spans="1:5" x14ac:dyDescent="0.2">
      <c r="A6" s="60">
        <v>10102</v>
      </c>
      <c r="B6" s="59" t="s">
        <v>371</v>
      </c>
      <c r="C6" s="58">
        <v>0.97599999999999998</v>
      </c>
      <c r="D6" s="58">
        <v>0.878</v>
      </c>
      <c r="E6" s="58">
        <v>0.47399999999999998</v>
      </c>
    </row>
    <row r="7" spans="1:5" x14ac:dyDescent="0.2">
      <c r="A7" s="60">
        <v>831</v>
      </c>
      <c r="B7" s="59" t="s">
        <v>370</v>
      </c>
      <c r="C7" s="58">
        <v>1.5</v>
      </c>
      <c r="D7" s="58">
        <v>1.0669999999999999</v>
      </c>
      <c r="E7" s="58">
        <v>0.66100000000000003</v>
      </c>
    </row>
    <row r="8" spans="1:5" x14ac:dyDescent="0.2">
      <c r="A8" s="60">
        <v>3102</v>
      </c>
      <c r="B8" s="59" t="s">
        <v>369</v>
      </c>
      <c r="C8" s="58">
        <v>0.97599999999999998</v>
      </c>
      <c r="D8" s="58">
        <v>0.97799999999999998</v>
      </c>
      <c r="E8" s="58">
        <v>1.0149999999999999</v>
      </c>
    </row>
    <row r="9" spans="1:5" x14ac:dyDescent="0.2">
      <c r="A9" s="60">
        <v>520</v>
      </c>
      <c r="B9" s="59" t="s">
        <v>368</v>
      </c>
      <c r="C9" s="58">
        <v>0.96699999999999997</v>
      </c>
      <c r="D9" s="58">
        <v>0.86499999999999999</v>
      </c>
      <c r="E9" s="58">
        <v>0.45</v>
      </c>
    </row>
    <row r="10" spans="1:5" x14ac:dyDescent="0.2">
      <c r="A10" s="60">
        <v>1192</v>
      </c>
      <c r="B10" s="59" t="s">
        <v>367</v>
      </c>
      <c r="C10" s="58">
        <v>1.044</v>
      </c>
      <c r="D10" s="58">
        <v>1.218</v>
      </c>
      <c r="E10" s="58">
        <v>0.67600000000000005</v>
      </c>
    </row>
    <row r="11" spans="1:5" x14ac:dyDescent="0.2">
      <c r="A11" s="60">
        <v>1192</v>
      </c>
      <c r="B11" s="59" t="s">
        <v>366</v>
      </c>
      <c r="C11" s="58">
        <v>1.036</v>
      </c>
      <c r="D11" s="58">
        <v>1.1539999999999999</v>
      </c>
      <c r="E11" s="58">
        <v>0.64200000000000002</v>
      </c>
    </row>
    <row r="12" spans="1:5" x14ac:dyDescent="0.2">
      <c r="A12" s="60">
        <v>1102</v>
      </c>
      <c r="B12" s="59" t="s">
        <v>365</v>
      </c>
      <c r="C12" s="58">
        <v>1.0509999999999999</v>
      </c>
      <c r="D12" s="58">
        <v>1.248</v>
      </c>
      <c r="E12" s="58">
        <v>0.45600000000000002</v>
      </c>
    </row>
    <row r="13" spans="1:5" x14ac:dyDescent="0.2">
      <c r="A13" s="60">
        <v>1102</v>
      </c>
      <c r="B13" s="59" t="s">
        <v>364</v>
      </c>
      <c r="C13" s="58">
        <v>1.0580000000000001</v>
      </c>
      <c r="D13" s="58">
        <v>1.254</v>
      </c>
      <c r="E13" s="58">
        <v>0.51600000000000001</v>
      </c>
    </row>
    <row r="14" spans="1:5" x14ac:dyDescent="0.2">
      <c r="A14" s="60">
        <v>1102</v>
      </c>
      <c r="B14" s="59" t="s">
        <v>363</v>
      </c>
      <c r="C14" s="58">
        <v>1.0720000000000001</v>
      </c>
      <c r="D14" s="58">
        <v>1.36</v>
      </c>
      <c r="E14" s="58">
        <v>0.51600000000000001</v>
      </c>
    </row>
    <row r="15" spans="1:5" x14ac:dyDescent="0.2">
      <c r="A15" s="60">
        <v>1102</v>
      </c>
      <c r="B15" s="59" t="s">
        <v>362</v>
      </c>
      <c r="C15" s="58">
        <v>1.0720000000000001</v>
      </c>
      <c r="D15" s="58">
        <v>1.3540000000000001</v>
      </c>
      <c r="E15" s="58">
        <v>0.51600000000000001</v>
      </c>
    </row>
    <row r="16" spans="1:5" x14ac:dyDescent="0.2">
      <c r="A16" s="60">
        <v>1102</v>
      </c>
      <c r="B16" s="59" t="s">
        <v>361</v>
      </c>
      <c r="C16" s="58">
        <v>1.077</v>
      </c>
      <c r="D16" s="58">
        <v>1.337</v>
      </c>
      <c r="E16" s="58">
        <v>0.51600000000000001</v>
      </c>
    </row>
    <row r="17" spans="1:5" x14ac:dyDescent="0.2">
      <c r="A17" s="60">
        <v>1192</v>
      </c>
      <c r="B17" s="59" t="s">
        <v>360</v>
      </c>
      <c r="C17" s="58">
        <v>1.034</v>
      </c>
      <c r="D17" s="58">
        <v>1.1930000000000001</v>
      </c>
      <c r="E17" s="58">
        <v>0.60499999999999998</v>
      </c>
    </row>
    <row r="18" spans="1:5" x14ac:dyDescent="0.2">
      <c r="A18" s="60">
        <v>1192</v>
      </c>
      <c r="B18" s="59" t="s">
        <v>359</v>
      </c>
      <c r="C18" s="58">
        <v>1.024</v>
      </c>
      <c r="D18" s="58">
        <v>1.085</v>
      </c>
      <c r="E18" s="58">
        <v>0.54700000000000004</v>
      </c>
    </row>
    <row r="19" spans="1:5" x14ac:dyDescent="0.2">
      <c r="A19" s="60">
        <v>1102</v>
      </c>
      <c r="B19" s="59" t="s">
        <v>359</v>
      </c>
      <c r="C19" s="58">
        <v>1.024</v>
      </c>
      <c r="D19" s="58">
        <v>1.085</v>
      </c>
      <c r="E19" s="58">
        <v>0.54700000000000004</v>
      </c>
    </row>
    <row r="20" spans="1:5" x14ac:dyDescent="0.2">
      <c r="A20" s="60">
        <v>4102</v>
      </c>
      <c r="B20" s="59" t="s">
        <v>358</v>
      </c>
      <c r="C20" s="58">
        <v>0.996</v>
      </c>
      <c r="D20" s="58">
        <v>1.004</v>
      </c>
      <c r="E20" s="58">
        <v>0.872</v>
      </c>
    </row>
    <row r="21" spans="1:5" x14ac:dyDescent="0.2">
      <c r="A21" s="60">
        <v>13102</v>
      </c>
      <c r="B21" s="59" t="s">
        <v>357</v>
      </c>
      <c r="C21" s="58">
        <v>1.024</v>
      </c>
      <c r="D21" s="58">
        <v>1.1100000000000001</v>
      </c>
      <c r="E21" s="58">
        <v>1.2350000000000001</v>
      </c>
    </row>
    <row r="22" spans="1:5" x14ac:dyDescent="0.2">
      <c r="A22" s="60">
        <v>12202</v>
      </c>
      <c r="B22" s="59" t="s">
        <v>356</v>
      </c>
      <c r="C22" s="58">
        <v>1.0489999999999999</v>
      </c>
      <c r="D22" s="58">
        <v>1.198</v>
      </c>
      <c r="E22" s="58">
        <v>1.1299999999999999</v>
      </c>
    </row>
    <row r="23" spans="1:5" x14ac:dyDescent="0.2">
      <c r="A23" s="60">
        <v>12102</v>
      </c>
      <c r="B23" s="59" t="s">
        <v>355</v>
      </c>
      <c r="C23" s="58">
        <v>1.012</v>
      </c>
      <c r="D23" s="58">
        <v>1.044</v>
      </c>
      <c r="E23" s="58">
        <v>0.67200000000000004</v>
      </c>
    </row>
    <row r="24" spans="1:5" x14ac:dyDescent="0.2">
      <c r="A24" s="60">
        <v>9102</v>
      </c>
      <c r="B24" s="59" t="s">
        <v>354</v>
      </c>
      <c r="C24" s="58">
        <v>0.99399999999999999</v>
      </c>
      <c r="D24" s="58">
        <v>1.0509999999999999</v>
      </c>
      <c r="E24" s="58">
        <v>1.982</v>
      </c>
    </row>
    <row r="25" spans="1:5" x14ac:dyDescent="0.2">
      <c r="A25" s="60">
        <v>9102</v>
      </c>
      <c r="B25" s="59" t="s">
        <v>353</v>
      </c>
      <c r="C25" s="58">
        <v>0.995</v>
      </c>
      <c r="D25" s="58">
        <v>1.054</v>
      </c>
      <c r="E25" s="58">
        <v>2.8149999999999999</v>
      </c>
    </row>
    <row r="26" spans="1:5" x14ac:dyDescent="0.2">
      <c r="A26" s="60">
        <v>9102</v>
      </c>
      <c r="B26" s="59" t="s">
        <v>352</v>
      </c>
      <c r="C26" s="58">
        <v>0.98199999999999998</v>
      </c>
      <c r="D26" s="58">
        <v>0.96799999999999997</v>
      </c>
      <c r="E26" s="58">
        <v>1.5529999999999999</v>
      </c>
    </row>
    <row r="27" spans="1:5" x14ac:dyDescent="0.2">
      <c r="A27" s="60">
        <v>10202</v>
      </c>
      <c r="B27" s="59" t="s">
        <v>351</v>
      </c>
      <c r="C27" s="58">
        <v>1.002</v>
      </c>
      <c r="D27" s="58">
        <v>1.0149999999999999</v>
      </c>
      <c r="E27" s="58">
        <v>0.94899999999999995</v>
      </c>
    </row>
    <row r="28" spans="1:5" x14ac:dyDescent="0.2">
      <c r="A28" s="60">
        <v>10202</v>
      </c>
      <c r="B28" s="59" t="s">
        <v>350</v>
      </c>
      <c r="C28" s="58">
        <v>0.97699999999999998</v>
      </c>
      <c r="D28" s="58">
        <v>0.89800000000000002</v>
      </c>
      <c r="E28" s="58">
        <v>0.92800000000000005</v>
      </c>
    </row>
    <row r="29" spans="1:5" x14ac:dyDescent="0.2">
      <c r="A29" s="60">
        <v>1202</v>
      </c>
      <c r="B29" s="59" t="s">
        <v>349</v>
      </c>
      <c r="C29" s="58">
        <v>1</v>
      </c>
      <c r="D29" s="58">
        <v>1.1539999999999999</v>
      </c>
      <c r="E29" s="58">
        <v>0.7</v>
      </c>
    </row>
    <row r="30" spans="1:5" x14ac:dyDescent="0.2">
      <c r="A30" s="60">
        <v>5130</v>
      </c>
      <c r="B30" s="59" t="s">
        <v>348</v>
      </c>
      <c r="C30" s="58">
        <v>0.98099999999999998</v>
      </c>
      <c r="D30" s="58">
        <v>0.89400000000000002</v>
      </c>
      <c r="E30" s="58">
        <v>0.60299999999999998</v>
      </c>
    </row>
    <row r="31" spans="1:5" x14ac:dyDescent="0.2">
      <c r="A31" s="60">
        <v>952</v>
      </c>
      <c r="B31" s="59" t="s">
        <v>347</v>
      </c>
      <c r="C31" s="58">
        <v>1.03</v>
      </c>
      <c r="D31" s="58">
        <v>1.0509999999999999</v>
      </c>
      <c r="E31" s="58">
        <v>2.077</v>
      </c>
    </row>
    <row r="32" spans="1:5" x14ac:dyDescent="0.2">
      <c r="A32" s="60">
        <v>952</v>
      </c>
      <c r="B32" s="59" t="s">
        <v>346</v>
      </c>
      <c r="C32" s="58">
        <v>0.98699999999999999</v>
      </c>
      <c r="D32" s="58">
        <v>0.93600000000000005</v>
      </c>
      <c r="E32" s="58">
        <v>1.9339999999999999</v>
      </c>
    </row>
    <row r="33" spans="1:5" x14ac:dyDescent="0.2">
      <c r="A33" s="60">
        <v>952</v>
      </c>
      <c r="B33" s="59" t="s">
        <v>345</v>
      </c>
      <c r="C33" s="58">
        <v>1.0249999999999999</v>
      </c>
      <c r="D33" s="58">
        <v>1.0720000000000001</v>
      </c>
      <c r="E33" s="58">
        <v>1.706</v>
      </c>
    </row>
    <row r="34" spans="1:5" x14ac:dyDescent="0.2">
      <c r="A34" s="60">
        <v>952</v>
      </c>
      <c r="B34" s="59" t="s">
        <v>344</v>
      </c>
      <c r="C34" s="58">
        <v>0.97599999999999998</v>
      </c>
      <c r="D34" s="58">
        <v>0.90900000000000003</v>
      </c>
      <c r="E34" s="58">
        <v>1.3360000000000001</v>
      </c>
    </row>
    <row r="35" spans="1:5" x14ac:dyDescent="0.2">
      <c r="A35" s="60">
        <v>630</v>
      </c>
      <c r="B35" s="59" t="s">
        <v>343</v>
      </c>
      <c r="C35" s="58">
        <v>0.96899999999999997</v>
      </c>
      <c r="D35" s="58">
        <v>0.92300000000000004</v>
      </c>
      <c r="E35" s="58">
        <v>0.61299999999999999</v>
      </c>
    </row>
    <row r="36" spans="1:5" x14ac:dyDescent="0.2">
      <c r="A36" s="60">
        <v>5102</v>
      </c>
      <c r="B36" s="59" t="s">
        <v>342</v>
      </c>
      <c r="C36" s="58">
        <v>0.95799999999999996</v>
      </c>
      <c r="D36" s="58">
        <v>0.88700000000000001</v>
      </c>
      <c r="E36" s="58">
        <v>0.45600000000000002</v>
      </c>
    </row>
    <row r="37" spans="1:5" x14ac:dyDescent="0.2">
      <c r="A37" s="60">
        <v>5202</v>
      </c>
      <c r="B37" s="59" t="s">
        <v>341</v>
      </c>
      <c r="C37" s="58">
        <v>0.96199999999999997</v>
      </c>
      <c r="D37" s="58">
        <v>0.89400000000000002</v>
      </c>
      <c r="E37" s="58">
        <v>0.95699999999999996</v>
      </c>
    </row>
    <row r="38" spans="1:5" x14ac:dyDescent="0.2">
      <c r="A38" s="60">
        <v>660</v>
      </c>
      <c r="B38" s="59" t="s">
        <v>340</v>
      </c>
      <c r="C38" s="58">
        <v>0.97099999999999997</v>
      </c>
      <c r="D38" s="58">
        <v>0.871</v>
      </c>
      <c r="E38" s="58">
        <v>0.752</v>
      </c>
    </row>
    <row r="39" spans="1:5" x14ac:dyDescent="0.2">
      <c r="A39" s="60">
        <v>528</v>
      </c>
      <c r="B39" s="59" t="s">
        <v>339</v>
      </c>
      <c r="C39" s="58">
        <v>0.98299999999999998</v>
      </c>
      <c r="D39" s="58">
        <v>0.97599999999999998</v>
      </c>
      <c r="E39" s="58">
        <v>0.92100000000000004</v>
      </c>
    </row>
    <row r="40" spans="1:5" x14ac:dyDescent="0.2">
      <c r="A40" s="60">
        <v>528</v>
      </c>
      <c r="B40" s="59" t="s">
        <v>338</v>
      </c>
      <c r="C40" s="58">
        <v>0.96699999999999997</v>
      </c>
      <c r="D40" s="58">
        <v>0.877</v>
      </c>
      <c r="E40" s="58">
        <v>0.74399999999999999</v>
      </c>
    </row>
    <row r="41" spans="1:5" x14ac:dyDescent="0.2">
      <c r="A41" s="60">
        <v>14102</v>
      </c>
      <c r="B41" s="59" t="s">
        <v>337</v>
      </c>
      <c r="C41" s="58">
        <v>0.98399999999999999</v>
      </c>
      <c r="D41" s="58">
        <v>1.024</v>
      </c>
      <c r="E41" s="58">
        <v>0.67600000000000005</v>
      </c>
    </row>
    <row r="42" spans="1:5" x14ac:dyDescent="0.2">
      <c r="A42" s="60">
        <v>14102</v>
      </c>
      <c r="B42" s="59" t="s">
        <v>336</v>
      </c>
      <c r="C42" s="58">
        <v>0.96399999999999997</v>
      </c>
      <c r="D42" s="58">
        <v>0.90400000000000003</v>
      </c>
      <c r="E42" s="58">
        <v>0.67600000000000005</v>
      </c>
    </row>
    <row r="43" spans="1:5" x14ac:dyDescent="0.2">
      <c r="A43" s="60">
        <v>12302</v>
      </c>
      <c r="B43" s="59" t="s">
        <v>335</v>
      </c>
      <c r="C43" s="58">
        <v>1.0269999999999999</v>
      </c>
      <c r="D43" s="58">
        <v>1.097</v>
      </c>
      <c r="E43" s="58">
        <v>1.206</v>
      </c>
    </row>
    <row r="44" spans="1:5" x14ac:dyDescent="0.2">
      <c r="A44" s="60">
        <v>12302</v>
      </c>
      <c r="B44" s="59" t="s">
        <v>334</v>
      </c>
      <c r="C44" s="58">
        <v>1.0109999999999999</v>
      </c>
      <c r="D44" s="58">
        <v>1.0349999999999999</v>
      </c>
      <c r="E44" s="58">
        <v>0.98699999999999999</v>
      </c>
    </row>
    <row r="45" spans="1:5" x14ac:dyDescent="0.2">
      <c r="A45" s="60">
        <v>14202</v>
      </c>
      <c r="B45" s="59" t="s">
        <v>333</v>
      </c>
      <c r="C45" s="58">
        <v>1.014</v>
      </c>
      <c r="D45" s="58">
        <v>1.149</v>
      </c>
      <c r="E45" s="58">
        <v>0.79</v>
      </c>
    </row>
    <row r="46" spans="1:5" x14ac:dyDescent="0.2">
      <c r="A46" s="60">
        <v>14202</v>
      </c>
      <c r="B46" s="59" t="s">
        <v>332</v>
      </c>
      <c r="C46" s="58">
        <v>1.0129999999999999</v>
      </c>
      <c r="D46" s="58">
        <v>1.0620000000000001</v>
      </c>
      <c r="E46" s="58">
        <v>0.79</v>
      </c>
    </row>
    <row r="47" spans="1:5" x14ac:dyDescent="0.2">
      <c r="A47" s="60">
        <v>953</v>
      </c>
      <c r="B47" s="59" t="s">
        <v>331</v>
      </c>
      <c r="C47" s="58">
        <v>1.022</v>
      </c>
      <c r="D47" s="58">
        <v>1.0229999999999999</v>
      </c>
      <c r="E47" s="58">
        <v>1.8140000000000001</v>
      </c>
    </row>
    <row r="48" spans="1:5" x14ac:dyDescent="0.2">
      <c r="A48" s="60">
        <v>953</v>
      </c>
      <c r="B48" s="59" t="s">
        <v>330</v>
      </c>
      <c r="C48" s="58">
        <v>0.99099999999999999</v>
      </c>
      <c r="D48" s="58">
        <v>0.92300000000000004</v>
      </c>
      <c r="E48" s="58">
        <v>1.069</v>
      </c>
    </row>
    <row r="49" spans="1:5" x14ac:dyDescent="0.2">
      <c r="A49" s="60">
        <v>954</v>
      </c>
      <c r="B49" s="59" t="s">
        <v>329</v>
      </c>
      <c r="C49" s="58">
        <v>0.997</v>
      </c>
      <c r="D49" s="58">
        <v>1.012</v>
      </c>
      <c r="E49" s="58">
        <v>0.28199999999999997</v>
      </c>
    </row>
    <row r="50" spans="1:5" x14ac:dyDescent="0.2">
      <c r="A50" s="60">
        <v>512</v>
      </c>
      <c r="B50" s="59" t="s">
        <v>328</v>
      </c>
      <c r="C50" s="58">
        <v>0.96199999999999997</v>
      </c>
      <c r="D50" s="58">
        <v>0.86599999999999999</v>
      </c>
      <c r="E50" s="58">
        <v>0.76100000000000001</v>
      </c>
    </row>
    <row r="51" spans="1:5" s="124" customFormat="1" ht="13.5" thickBot="1" x14ac:dyDescent="0.25">
      <c r="A51" s="527" t="s">
        <v>522</v>
      </c>
      <c r="B51" s="528"/>
      <c r="C51" s="528"/>
      <c r="D51" s="528"/>
      <c r="E51" s="529"/>
    </row>
    <row r="52" spans="1:5" s="124" customFormat="1" ht="25.5" x14ac:dyDescent="0.2">
      <c r="A52" s="530" t="s">
        <v>378</v>
      </c>
      <c r="B52" s="530" t="s">
        <v>377</v>
      </c>
      <c r="C52" s="530" t="s">
        <v>376</v>
      </c>
      <c r="D52" s="62" t="s">
        <v>375</v>
      </c>
      <c r="E52" s="62" t="s">
        <v>374</v>
      </c>
    </row>
    <row r="53" spans="1:5" s="124" customFormat="1" ht="13.5" thickBot="1" x14ac:dyDescent="0.25">
      <c r="A53" s="531"/>
      <c r="B53" s="531"/>
      <c r="C53" s="531"/>
      <c r="D53" s="61" t="s">
        <v>373</v>
      </c>
      <c r="E53" s="61" t="s">
        <v>372</v>
      </c>
    </row>
    <row r="54" spans="1:5" x14ac:dyDescent="0.2">
      <c r="A54" s="60">
        <v>5302</v>
      </c>
      <c r="B54" s="59" t="s">
        <v>327</v>
      </c>
      <c r="C54" s="58">
        <v>0.98099999999999998</v>
      </c>
      <c r="D54" s="58">
        <v>0.95299999999999996</v>
      </c>
      <c r="E54" s="58">
        <v>1.2330000000000001</v>
      </c>
    </row>
    <row r="55" spans="1:5" x14ac:dyDescent="0.2">
      <c r="A55" s="60">
        <v>5302</v>
      </c>
      <c r="B55" s="59" t="s">
        <v>326</v>
      </c>
      <c r="C55" s="58">
        <v>0.98899999999999999</v>
      </c>
      <c r="D55" s="58">
        <v>0.96399999999999997</v>
      </c>
      <c r="E55" s="58">
        <v>1.0640000000000001</v>
      </c>
    </row>
    <row r="56" spans="1:5" x14ac:dyDescent="0.2">
      <c r="A56" s="60">
        <v>5302</v>
      </c>
      <c r="B56" s="59" t="s">
        <v>325</v>
      </c>
      <c r="C56" s="58">
        <v>0.95599999999999996</v>
      </c>
      <c r="D56" s="58">
        <v>0.85099999999999998</v>
      </c>
      <c r="E56" s="58">
        <v>1.0229999999999999</v>
      </c>
    </row>
    <row r="57" spans="1:5" x14ac:dyDescent="0.2">
      <c r="A57" s="60">
        <v>3202</v>
      </c>
      <c r="B57" s="59" t="s">
        <v>324</v>
      </c>
      <c r="C57" s="58">
        <v>0.94499999999999995</v>
      </c>
      <c r="D57" s="58">
        <v>1</v>
      </c>
      <c r="E57" s="58">
        <v>1.103</v>
      </c>
    </row>
    <row r="58" spans="1:5" x14ac:dyDescent="0.2">
      <c r="A58" s="60">
        <v>5402</v>
      </c>
      <c r="B58" s="59" t="s">
        <v>323</v>
      </c>
      <c r="C58" s="58">
        <v>0.96699999999999997</v>
      </c>
      <c r="D58" s="58">
        <v>0.90400000000000003</v>
      </c>
      <c r="E58" s="58">
        <v>0.32200000000000001</v>
      </c>
    </row>
    <row r="59" spans="1:5" x14ac:dyDescent="0.2">
      <c r="A59" s="60">
        <v>1302</v>
      </c>
      <c r="B59" s="59" t="s">
        <v>322</v>
      </c>
      <c r="C59" s="58">
        <v>0.996</v>
      </c>
      <c r="D59" s="58">
        <v>1.0580000000000001</v>
      </c>
      <c r="E59" s="58">
        <v>1.232</v>
      </c>
    </row>
    <row r="60" spans="1:5" x14ac:dyDescent="0.2">
      <c r="A60" s="60">
        <v>14302</v>
      </c>
      <c r="B60" s="59" t="s">
        <v>321</v>
      </c>
      <c r="C60" s="58">
        <v>0.99</v>
      </c>
      <c r="D60" s="58">
        <v>1.044</v>
      </c>
      <c r="E60" s="58">
        <v>0.86</v>
      </c>
    </row>
    <row r="61" spans="1:5" x14ac:dyDescent="0.2">
      <c r="A61" s="60">
        <v>12402</v>
      </c>
      <c r="B61" s="59" t="s">
        <v>320</v>
      </c>
      <c r="C61" s="58">
        <v>1.044</v>
      </c>
      <c r="D61" s="58">
        <v>1.1859999999999999</v>
      </c>
      <c r="E61" s="58">
        <v>1.0449999999999999</v>
      </c>
    </row>
    <row r="62" spans="1:5" x14ac:dyDescent="0.2">
      <c r="A62" s="60">
        <v>12402</v>
      </c>
      <c r="B62" s="59" t="s">
        <v>319</v>
      </c>
      <c r="C62" s="58">
        <v>1.0209999999999999</v>
      </c>
      <c r="D62" s="58">
        <v>1.1259999999999999</v>
      </c>
      <c r="E62" s="58">
        <v>1.0449999999999999</v>
      </c>
    </row>
    <row r="63" spans="1:5" x14ac:dyDescent="0.2">
      <c r="A63" s="60">
        <v>4202</v>
      </c>
      <c r="B63" s="59" t="s">
        <v>318</v>
      </c>
      <c r="C63" s="58">
        <v>0.98799999999999999</v>
      </c>
      <c r="D63" s="58">
        <v>0.91600000000000004</v>
      </c>
      <c r="E63" s="58">
        <v>0.997</v>
      </c>
    </row>
    <row r="64" spans="1:5" x14ac:dyDescent="0.2">
      <c r="A64" s="60">
        <v>13202</v>
      </c>
      <c r="B64" s="59" t="s">
        <v>317</v>
      </c>
      <c r="C64" s="58">
        <v>1.0620000000000001</v>
      </c>
      <c r="D64" s="58">
        <v>1.1619999999999999</v>
      </c>
      <c r="E64" s="58">
        <v>1.2709999999999999</v>
      </c>
    </row>
    <row r="65" spans="1:5" x14ac:dyDescent="0.2">
      <c r="A65" s="60">
        <v>13202</v>
      </c>
      <c r="B65" s="59" t="s">
        <v>316</v>
      </c>
      <c r="C65" s="58">
        <v>1.0489999999999999</v>
      </c>
      <c r="D65" s="58">
        <v>1.212</v>
      </c>
      <c r="E65" s="58">
        <v>1.4410000000000001</v>
      </c>
    </row>
    <row r="66" spans="1:5" x14ac:dyDescent="0.2">
      <c r="A66" s="60">
        <v>13202</v>
      </c>
      <c r="B66" s="59" t="s">
        <v>315</v>
      </c>
      <c r="C66" s="58">
        <v>1.0109999999999999</v>
      </c>
      <c r="D66" s="58">
        <v>1.0649999999999999</v>
      </c>
      <c r="E66" s="58">
        <v>1.081</v>
      </c>
    </row>
    <row r="67" spans="1:5" x14ac:dyDescent="0.2">
      <c r="A67" s="60">
        <v>13292</v>
      </c>
      <c r="B67" s="59" t="s">
        <v>314</v>
      </c>
      <c r="C67" s="58">
        <v>1.0620000000000001</v>
      </c>
      <c r="D67" s="58">
        <v>1.1950000000000001</v>
      </c>
      <c r="E67" s="58">
        <v>1.4910000000000001</v>
      </c>
    </row>
    <row r="68" spans="1:5" x14ac:dyDescent="0.2">
      <c r="A68" s="60">
        <v>13282</v>
      </c>
      <c r="B68" s="59" t="s">
        <v>313</v>
      </c>
      <c r="C68" s="58">
        <v>0.98699999999999999</v>
      </c>
      <c r="D68" s="58">
        <v>0.93899999999999995</v>
      </c>
      <c r="E68" s="58">
        <v>0.56200000000000006</v>
      </c>
    </row>
    <row r="69" spans="1:5" x14ac:dyDescent="0.2">
      <c r="A69" s="60">
        <v>5535</v>
      </c>
      <c r="B69" s="59" t="s">
        <v>312</v>
      </c>
      <c r="C69" s="58">
        <v>0.97099999999999997</v>
      </c>
      <c r="D69" s="58">
        <v>0.92700000000000005</v>
      </c>
      <c r="E69" s="58">
        <v>0.69499999999999995</v>
      </c>
    </row>
    <row r="70" spans="1:5" x14ac:dyDescent="0.2">
      <c r="A70" s="60">
        <v>3302</v>
      </c>
      <c r="B70" s="59" t="s">
        <v>311</v>
      </c>
      <c r="C70" s="58">
        <v>0.96599999999999997</v>
      </c>
      <c r="D70" s="58">
        <v>1</v>
      </c>
      <c r="E70" s="58">
        <v>0.51700000000000002</v>
      </c>
    </row>
    <row r="71" spans="1:5" x14ac:dyDescent="0.2">
      <c r="A71" s="60">
        <v>883</v>
      </c>
      <c r="B71" s="59" t="s">
        <v>310</v>
      </c>
      <c r="C71" s="58">
        <v>0.998</v>
      </c>
      <c r="D71" s="58">
        <v>0.92700000000000005</v>
      </c>
      <c r="E71" s="58">
        <v>1.24</v>
      </c>
    </row>
    <row r="72" spans="1:5" x14ac:dyDescent="0.2">
      <c r="A72" s="60">
        <v>4302</v>
      </c>
      <c r="B72" s="59" t="s">
        <v>309</v>
      </c>
      <c r="C72" s="58">
        <v>0.95399999999999996</v>
      </c>
      <c r="D72" s="58">
        <v>0.85599999999999998</v>
      </c>
      <c r="E72" s="58">
        <v>0.73399999999999999</v>
      </c>
    </row>
    <row r="73" spans="1:5" x14ac:dyDescent="0.2">
      <c r="A73" s="60">
        <v>835</v>
      </c>
      <c r="B73" s="59" t="s">
        <v>308</v>
      </c>
      <c r="C73" s="58">
        <v>1.0049999999999999</v>
      </c>
      <c r="D73" s="58">
        <v>1.044</v>
      </c>
      <c r="E73" s="58">
        <v>0.625</v>
      </c>
    </row>
    <row r="74" spans="1:5" x14ac:dyDescent="0.2">
      <c r="A74" s="60">
        <v>835</v>
      </c>
      <c r="B74" s="59" t="s">
        <v>307</v>
      </c>
      <c r="C74" s="58">
        <v>0.98</v>
      </c>
      <c r="D74" s="58">
        <v>0.96199999999999997</v>
      </c>
      <c r="E74" s="58">
        <v>0.625</v>
      </c>
    </row>
    <row r="75" spans="1:5" x14ac:dyDescent="0.2">
      <c r="A75" s="60">
        <v>12502</v>
      </c>
      <c r="B75" s="59" t="s">
        <v>306</v>
      </c>
      <c r="C75" s="58">
        <v>1.014</v>
      </c>
      <c r="D75" s="58">
        <v>1.0589999999999999</v>
      </c>
      <c r="E75" s="58">
        <v>1.6240000000000001</v>
      </c>
    </row>
    <row r="76" spans="1:5" x14ac:dyDescent="0.2">
      <c r="A76" s="60">
        <v>12502</v>
      </c>
      <c r="B76" s="59" t="s">
        <v>305</v>
      </c>
      <c r="C76" s="58">
        <v>0.98699999999999999</v>
      </c>
      <c r="D76" s="58">
        <v>0.91300000000000003</v>
      </c>
      <c r="E76" s="58">
        <v>1.123</v>
      </c>
    </row>
    <row r="77" spans="1:5" x14ac:dyDescent="0.2">
      <c r="A77" s="60">
        <v>9202</v>
      </c>
      <c r="B77" s="59" t="s">
        <v>304</v>
      </c>
      <c r="C77" s="58">
        <v>0.90800000000000003</v>
      </c>
      <c r="D77" s="58">
        <v>0.67800000000000005</v>
      </c>
      <c r="E77" s="58">
        <v>0.249</v>
      </c>
    </row>
    <row r="78" spans="1:5" x14ac:dyDescent="0.2">
      <c r="A78" s="60">
        <v>14402</v>
      </c>
      <c r="B78" s="59" t="s">
        <v>303</v>
      </c>
      <c r="C78" s="58">
        <v>1.0169999999999999</v>
      </c>
      <c r="D78" s="58">
        <v>1.052</v>
      </c>
      <c r="E78" s="58">
        <v>1.1870000000000001</v>
      </c>
    </row>
    <row r="79" spans="1:5" x14ac:dyDescent="0.2">
      <c r="A79" s="60">
        <v>880</v>
      </c>
      <c r="B79" s="59" t="s">
        <v>302</v>
      </c>
      <c r="C79" s="58">
        <v>0.97599999999999998</v>
      </c>
      <c r="D79" s="58">
        <v>0.90900000000000003</v>
      </c>
      <c r="E79" s="58">
        <v>0.52</v>
      </c>
    </row>
    <row r="80" spans="1:5" x14ac:dyDescent="0.2">
      <c r="A80" s="60">
        <v>3402</v>
      </c>
      <c r="B80" s="59" t="s">
        <v>301</v>
      </c>
      <c r="C80" s="58">
        <v>0.94899999999999995</v>
      </c>
      <c r="D80" s="58">
        <v>1</v>
      </c>
      <c r="E80" s="58">
        <v>0.432</v>
      </c>
    </row>
    <row r="81" spans="1:5" x14ac:dyDescent="0.2">
      <c r="A81" s="60">
        <v>10302</v>
      </c>
      <c r="B81" s="59" t="s">
        <v>300</v>
      </c>
      <c r="C81" s="58">
        <v>0.97199999999999998</v>
      </c>
      <c r="D81" s="58">
        <v>0.89800000000000002</v>
      </c>
      <c r="E81" s="58">
        <v>0.52300000000000002</v>
      </c>
    </row>
    <row r="82" spans="1:5" x14ac:dyDescent="0.2">
      <c r="A82" s="60">
        <v>4402</v>
      </c>
      <c r="B82" s="59" t="s">
        <v>299</v>
      </c>
      <c r="C82" s="58">
        <v>0.98399999999999999</v>
      </c>
      <c r="D82" s="58">
        <v>1.0089999999999999</v>
      </c>
      <c r="E82" s="58">
        <v>0.751</v>
      </c>
    </row>
    <row r="83" spans="1:5" x14ac:dyDescent="0.2">
      <c r="A83" s="60">
        <v>4402</v>
      </c>
      <c r="B83" s="59" t="s">
        <v>298</v>
      </c>
      <c r="C83" s="58">
        <v>0.97099999999999997</v>
      </c>
      <c r="D83" s="58">
        <v>0.89600000000000002</v>
      </c>
      <c r="E83" s="58">
        <v>0.92300000000000004</v>
      </c>
    </row>
    <row r="84" spans="1:5" x14ac:dyDescent="0.2">
      <c r="A84" s="60">
        <v>4402</v>
      </c>
      <c r="B84" s="59" t="s">
        <v>297</v>
      </c>
      <c r="C84" s="58">
        <v>1.0089999999999999</v>
      </c>
      <c r="D84" s="58">
        <v>0.98699999999999999</v>
      </c>
      <c r="E84" s="58">
        <v>0.92300000000000004</v>
      </c>
    </row>
    <row r="85" spans="1:5" x14ac:dyDescent="0.2">
      <c r="A85" s="60">
        <v>4402</v>
      </c>
      <c r="B85" s="59" t="s">
        <v>296</v>
      </c>
      <c r="C85" s="58">
        <v>1.0089999999999999</v>
      </c>
      <c r="D85" s="58">
        <v>1.0169999999999999</v>
      </c>
      <c r="E85" s="58">
        <v>0.83399999999999996</v>
      </c>
    </row>
    <row r="86" spans="1:5" x14ac:dyDescent="0.2">
      <c r="A86" s="60">
        <v>4402</v>
      </c>
      <c r="B86" s="59" t="s">
        <v>295</v>
      </c>
      <c r="C86" s="58">
        <v>0.999</v>
      </c>
      <c r="D86" s="58">
        <v>0.97899999999999998</v>
      </c>
      <c r="E86" s="58">
        <v>0.82599999999999996</v>
      </c>
    </row>
    <row r="87" spans="1:5" x14ac:dyDescent="0.2">
      <c r="A87" s="60">
        <v>4402</v>
      </c>
      <c r="B87" s="59" t="s">
        <v>294</v>
      </c>
      <c r="C87" s="58">
        <v>1.0089999999999999</v>
      </c>
      <c r="D87" s="58">
        <v>0.996</v>
      </c>
      <c r="E87" s="58">
        <v>0.98499999999999999</v>
      </c>
    </row>
    <row r="88" spans="1:5" x14ac:dyDescent="0.2">
      <c r="A88" s="60">
        <v>4402</v>
      </c>
      <c r="B88" s="59" t="s">
        <v>293</v>
      </c>
      <c r="C88" s="58">
        <v>1.0089999999999999</v>
      </c>
      <c r="D88" s="58">
        <v>1.002</v>
      </c>
      <c r="E88" s="58">
        <v>0.92300000000000004</v>
      </c>
    </row>
    <row r="89" spans="1:5" x14ac:dyDescent="0.2">
      <c r="A89" s="60">
        <v>4402</v>
      </c>
      <c r="B89" s="59" t="s">
        <v>292</v>
      </c>
      <c r="C89" s="58">
        <v>0.97899999999999998</v>
      </c>
      <c r="D89" s="58">
        <v>0.91200000000000003</v>
      </c>
      <c r="E89" s="58">
        <v>0.80900000000000005</v>
      </c>
    </row>
    <row r="90" spans="1:5" x14ac:dyDescent="0.2">
      <c r="A90" s="60">
        <v>3502</v>
      </c>
      <c r="B90" s="59" t="s">
        <v>291</v>
      </c>
      <c r="C90" s="58">
        <v>0.97099999999999997</v>
      </c>
      <c r="D90" s="58">
        <v>0.91600000000000004</v>
      </c>
      <c r="E90" s="58">
        <v>1.1020000000000001</v>
      </c>
    </row>
    <row r="91" spans="1:5" x14ac:dyDescent="0.2">
      <c r="A91" s="60">
        <v>14502</v>
      </c>
      <c r="B91" s="59" t="s">
        <v>290</v>
      </c>
      <c r="C91" s="58">
        <v>0.97699999999999998</v>
      </c>
      <c r="D91" s="58">
        <v>1.008</v>
      </c>
      <c r="E91" s="58">
        <v>0.55400000000000005</v>
      </c>
    </row>
    <row r="92" spans="1:5" x14ac:dyDescent="0.2">
      <c r="A92" s="60">
        <v>904</v>
      </c>
      <c r="B92" s="59" t="s">
        <v>289</v>
      </c>
      <c r="C92" s="58">
        <v>0.99299999999999999</v>
      </c>
      <c r="D92" s="58">
        <v>0.97699999999999998</v>
      </c>
      <c r="E92" s="58">
        <v>0.73099999999999998</v>
      </c>
    </row>
    <row r="93" spans="1:5" x14ac:dyDescent="0.2">
      <c r="A93" s="60">
        <v>9202</v>
      </c>
      <c r="B93" s="59" t="s">
        <v>288</v>
      </c>
      <c r="C93" s="58">
        <v>0.998</v>
      </c>
      <c r="D93" s="58">
        <v>1.002</v>
      </c>
      <c r="E93" s="58">
        <v>1.01</v>
      </c>
    </row>
    <row r="94" spans="1:5" x14ac:dyDescent="0.2">
      <c r="A94" s="60">
        <v>836</v>
      </c>
      <c r="B94" s="59" t="s">
        <v>287</v>
      </c>
      <c r="C94" s="58">
        <v>1.0249999999999999</v>
      </c>
      <c r="D94" s="58">
        <v>1.1439999999999999</v>
      </c>
      <c r="E94" s="58">
        <v>0.88100000000000001</v>
      </c>
    </row>
    <row r="95" spans="1:5" x14ac:dyDescent="0.2">
      <c r="A95" s="60">
        <v>836</v>
      </c>
      <c r="B95" s="59" t="s">
        <v>286</v>
      </c>
      <c r="C95" s="58">
        <v>0.99299999999999999</v>
      </c>
      <c r="D95" s="58">
        <v>1.012</v>
      </c>
      <c r="E95" s="58">
        <v>0.86099999999999999</v>
      </c>
    </row>
    <row r="96" spans="1:5" x14ac:dyDescent="0.2">
      <c r="A96" s="60">
        <v>884</v>
      </c>
      <c r="B96" s="59" t="s">
        <v>285</v>
      </c>
      <c r="C96" s="58">
        <v>0.96299999999999997</v>
      </c>
      <c r="D96" s="58">
        <v>0.82799999999999996</v>
      </c>
      <c r="E96" s="58">
        <v>1.2290000000000001</v>
      </c>
    </row>
    <row r="97" spans="1:5" x14ac:dyDescent="0.2">
      <c r="A97" s="60">
        <v>951</v>
      </c>
      <c r="B97" s="59" t="s">
        <v>284</v>
      </c>
      <c r="C97" s="58">
        <v>0.98699999999999999</v>
      </c>
      <c r="D97" s="58">
        <v>0.96</v>
      </c>
      <c r="E97" s="58">
        <v>0.54700000000000004</v>
      </c>
    </row>
    <row r="98" spans="1:5" ht="13.5" thickBot="1" x14ac:dyDescent="0.25">
      <c r="A98" s="57">
        <v>3602</v>
      </c>
      <c r="B98" s="56" t="s">
        <v>283</v>
      </c>
      <c r="C98" s="55">
        <v>0.97199999999999998</v>
      </c>
      <c r="D98" s="55">
        <v>1</v>
      </c>
      <c r="E98" s="55">
        <v>1.2330000000000001</v>
      </c>
    </row>
    <row r="100" spans="1:5" ht="27" customHeight="1" x14ac:dyDescent="0.2">
      <c r="A100" s="526" t="s">
        <v>282</v>
      </c>
      <c r="B100" s="526"/>
      <c r="C100" s="526"/>
      <c r="D100" s="526"/>
      <c r="E100" s="526"/>
    </row>
    <row r="101" spans="1:5" ht="27" customHeight="1" x14ac:dyDescent="0.2">
      <c r="A101" s="526" t="s">
        <v>281</v>
      </c>
      <c r="B101" s="526"/>
      <c r="C101" s="526"/>
      <c r="D101" s="526"/>
      <c r="E101" s="526"/>
    </row>
  </sheetData>
  <sheetProtection sheet="1" objects="1" scenarios="1"/>
  <mergeCells count="10">
    <mergeCell ref="A101:E101"/>
    <mergeCell ref="A3:E3"/>
    <mergeCell ref="A4:A5"/>
    <mergeCell ref="B4:B5"/>
    <mergeCell ref="C4:C5"/>
    <mergeCell ref="A100:E100"/>
    <mergeCell ref="A51:E51"/>
    <mergeCell ref="A52:A53"/>
    <mergeCell ref="B52:B53"/>
    <mergeCell ref="C52:C53"/>
  </mergeCells>
  <pageMargins left="0.7" right="0.7" top="0.75" bottom="0.75" header="0.3" footer="0.3"/>
  <pageSetup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1 Basic Budget</vt:lpstr>
      <vt:lpstr>2 Basic Budget Parameters</vt:lpstr>
      <vt:lpstr>3 Build Your Own Budget</vt:lpstr>
      <vt:lpstr>4 Budget vs ActualExp Variance</vt:lpstr>
      <vt:lpstr>5  Labor Tabs 1 and 2</vt:lpstr>
      <vt:lpstr>6  Labor Tabs 3 and 4</vt:lpstr>
      <vt:lpstr>7  Labor Tabs 5 and 6</vt:lpstr>
      <vt:lpstr>8 Amortization Factors</vt:lpstr>
      <vt:lpstr>9 Medicare 2013 GPCIs</vt:lpstr>
      <vt:lpstr>10 EXS 1-9 Budgets</vt:lpstr>
      <vt:lpstr>11 EXS 1-9 Budget Parameters</vt:lpstr>
      <vt:lpstr>Sheet1</vt:lpstr>
      <vt:lpstr>'5  Labor Tabs 1 and 2'!_Toc295483220</vt:lpstr>
      <vt:lpstr>'6  Labor Tabs 3 and 4'!_Toc295483220</vt:lpstr>
      <vt:lpstr>'5  Labor Tabs 1 and 2'!_Toc295483221</vt:lpstr>
      <vt:lpstr>'1 Basic Budget'!Print_Area</vt:lpstr>
      <vt:lpstr>'10 EXS 1-9 Budgets'!Print_Area</vt:lpstr>
      <vt:lpstr>'11 EXS 1-9 Budget Parameters'!Print_Area</vt:lpstr>
      <vt:lpstr>'2 Basic Budget Parameters'!Print_Area</vt:lpstr>
      <vt:lpstr>'3 Build Your Own Budget'!Print_Area</vt:lpstr>
      <vt:lpstr>'4 Budget vs ActualExp Variance'!Print_Area</vt:lpstr>
      <vt:lpstr>'5  Labor Tabs 1 and 2'!Print_Area</vt:lpstr>
      <vt:lpstr>'6  Labor Tabs 3 and 4'!Print_Area</vt:lpstr>
      <vt:lpstr>'7  Labor Tabs 5 and 6'!Print_Area</vt:lpstr>
      <vt:lpstr>'8 Amortization Factors'!Print_Area</vt:lpstr>
      <vt:lpstr>'1 Basic Budget'!Print_Titles</vt:lpstr>
      <vt:lpstr>'10 EXS 1-9 Budgets'!Print_Titles</vt:lpstr>
      <vt:lpstr>'11 EXS 1-9 Budget Parameters'!Print_Titles</vt:lpstr>
      <vt:lpstr>'2 Basic Budget Parameters'!Print_Titles</vt:lpstr>
      <vt:lpstr>'4 Budget vs ActualExp Variance'!Print_Titles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Cheryl St. Clair</cp:lastModifiedBy>
  <cp:lastPrinted>2014-09-19T21:14:41Z</cp:lastPrinted>
  <dcterms:created xsi:type="dcterms:W3CDTF">2013-08-29T09:12:39Z</dcterms:created>
  <dcterms:modified xsi:type="dcterms:W3CDTF">2014-09-19T22:00:09Z</dcterms:modified>
</cp:coreProperties>
</file>